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29040" windowHeight="15840" tabRatio="804" activeTab="0"/>
  </bookViews>
  <sheets>
    <sheet name="Provider Information" sheetId="1" r:id="rId1"/>
    <sheet name="Provider Total Budget by Serv" sheetId="2" r:id="rId2"/>
    <sheet name="Provider Service Area" sheetId="3" r:id="rId3"/>
    <sheet name="Analysis Tool" sheetId="4" r:id="rId4"/>
    <sheet name="Home Delivered Meal Budget" sheetId="5" r:id="rId5"/>
    <sheet name="Certification HDM" sheetId="6" r:id="rId6"/>
    <sheet name="Unit Rate Calculation HDM" sheetId="7" r:id="rId7"/>
    <sheet name="In-Kind Certification HDM" sheetId="8" r:id="rId8"/>
    <sheet name="Congregate Meal Budget" sheetId="9" r:id="rId9"/>
    <sheet name="Unit Rate Calculation CM" sheetId="10" r:id="rId10"/>
    <sheet name="Certification CM" sheetId="11" r:id="rId11"/>
    <sheet name="In-Kind Certification CM" sheetId="12" r:id="rId12"/>
    <sheet name="Participant Assessment Budget" sheetId="13" r:id="rId13"/>
    <sheet name="Unit Rate Calculation PA" sheetId="14" r:id="rId14"/>
    <sheet name="Certification PA" sheetId="15" r:id="rId15"/>
    <sheet name="In-Kind Certification PA" sheetId="16" r:id="rId16"/>
    <sheet name="Transportation Budget" sheetId="17" r:id="rId17"/>
    <sheet name="Unit Rate Calculation Transp" sheetId="18" r:id="rId18"/>
    <sheet name="Certification Transp" sheetId="19" r:id="rId19"/>
    <sheet name="In-Kind Certification Transp" sheetId="20" r:id="rId20"/>
  </sheets>
  <definedNames>
    <definedName name="_xlfn.SINGLE" hidden="1">#NAME?</definedName>
    <definedName name="C_Acct_Fees">'Provider Total Budget by Serv'!$G$255</definedName>
    <definedName name="C_Advertising">'Provider Total Budget by Serv'!$G$210</definedName>
    <definedName name="C_Audit">'Provider Total Budget by Serv'!$G$270</definedName>
    <definedName name="C_Benefits">'Provider Total Budget by Serv'!$G$29</definedName>
    <definedName name="C_Conference">'Provider Total Budget by Serv'!$G$43</definedName>
    <definedName name="C_Consult_Fees">'Provider Total Budget by Serv'!$G$260</definedName>
    <definedName name="C_Consumables">'Provider Total Budget by Serv'!$G$87</definedName>
    <definedName name="C_Contract_Staff">'Provider Total Budget by Serv'!$G$36</definedName>
    <definedName name="C_Contractual_Admin">'Provider Total Budget by Serv'!$G$230</definedName>
    <definedName name="C_Copying">'Provider Total Budget by Serv'!$G$220</definedName>
    <definedName name="C_Delivery">'Provider Total Budget by Serv'!$G$173</definedName>
    <definedName name="C_Depreciation_Bldg">'Provider Total Budget by Serv'!$G$131</definedName>
    <definedName name="C_Depreciation_Equip">'Provider Total Budget by Serv'!$G$99</definedName>
    <definedName name="C_Depreciation_Transp">'Provider Total Budget by Serv'!$G$193</definedName>
    <definedName name="C_Dues">'Provider Total Budget by Serv'!$G$48</definedName>
    <definedName name="C_Equip_Leasing">'Provider Total Budget by Serv'!$G$109</definedName>
    <definedName name="C_Equip_Maintenance">'Provider Total Budget by Serv'!$G$114</definedName>
    <definedName name="C_GasOil">'Provider Total Budget by Serv'!$G$178</definedName>
    <definedName name="C_HotPrepMealsPurchfromSupplierCentralKitch">'Provider Total Budget by Serv'!$G$288</definedName>
    <definedName name="C_Insurance_Bldg">'Provider Total Budget by Serv'!$G$141</definedName>
    <definedName name="C_Insurance_Transp">'Provider Total Budget by Serv'!$G$188</definedName>
    <definedName name="C_Interest_Equip">'Provider Total Budget by Serv'!$G$104</definedName>
    <definedName name="C_Interest_Transp">'Provider Total Budget by Serv'!$G$198</definedName>
    <definedName name="C_Janitorial">'Provider Total Budget by Serv'!$G$151</definedName>
    <definedName name="C_Legal_Fees">'Provider Total Budget by Serv'!$G$250</definedName>
    <definedName name="C_Liability_Ins">'Provider Total Budget by Serv'!$G$245</definedName>
    <definedName name="C_Materials">'Provider Total Budget by Serv'!$G$53</definedName>
    <definedName name="C_Meal_Freight">'Provider Total Budget by Serv'!$G$73</definedName>
    <definedName name="C_MealsPreparedByProvider">'Provider Total Budget by Serv'!$G$286</definedName>
    <definedName name="C_Mileage">'Provider Total Budget by Serv'!$G$168</definedName>
    <definedName name="C_Mortgage_Interst_Bldg">'Provider Total Budget by Serv'!$G$136</definedName>
    <definedName name="C_O_Supply">'Provider Total Budget by Serv'!$G$225</definedName>
    <definedName name="C_Other_Fees_Admin">'Provider Total Budget by Serv'!$G$265</definedName>
    <definedName name="C_Other_Meal">'Provider Total Budget by Serv'!$G$92</definedName>
    <definedName name="C_Other_Misc_Admin">'Provider Total Budget by Serv'!$G$275</definedName>
    <definedName name="C_Percentage_of_Total_Meals">'Provider Total Budget by Serv'!$G$295</definedName>
    <definedName name="C_Postage">'Provider Total Budget by Serv'!$G$235</definedName>
    <definedName name="C_Printing">'Provider Total Budget by Serv'!$G$215</definedName>
    <definedName name="C_Purchased_ChilledMeals">'Provider Total Budget by Serv'!$G$65</definedName>
    <definedName name="C_Purchased_Frozen_Meals">'Provider Total Budget by Serv'!$G$64</definedName>
    <definedName name="C_Purchased_Hot_Meals">'Provider Total Budget by Serv'!$G$63</definedName>
    <definedName name="C_Purchased_ShelfStableMeals">'Provider Total Budget by Serv'!$G$66</definedName>
    <definedName name="C_PurchasedFrozenMeals">'Provider Total Budget by Serv'!$G$289</definedName>
    <definedName name="C_PurchasedMeals">'Provider Total Budget by Serv'!$G$68</definedName>
    <definedName name="C_PurchasedShelfStableMeals">'Provider Total Budget by Serv'!$G$291</definedName>
    <definedName name="C_RawFood">'Provider Total Budget by Serv'!$G$61</definedName>
    <definedName name="C_Rent_Bldg">'Provider Total Budget by Serv'!$G$121</definedName>
    <definedName name="C_Repair_Bldg">'Provider Total Budget by Serv'!$G$156</definedName>
    <definedName name="C_Repair_Transp">'Provider Total Budget by Serv'!$G$183</definedName>
    <definedName name="C_Salaries">'Provider Total Budget by Serv'!$G$17</definedName>
    <definedName name="C_Security_Bldg">'Provider Total Budget by Serv'!$G$146</definedName>
    <definedName name="C_Storage">'Provider Total Budget by Serv'!$G$78</definedName>
    <definedName name="C_Tags">'Provider Total Budget by Serv'!$G$203</definedName>
    <definedName name="C_Taxes">'Provider Total Budget by Serv'!$G$161</definedName>
    <definedName name="C_Telecom">'Provider Total Budget by Serv'!$G$240</definedName>
    <definedName name="C_Tot_Admin">'Provider Total Budget by Serv'!$G$276</definedName>
    <definedName name="C_Tot_Bldg">'Provider Total Budget by Serv'!$G$162</definedName>
    <definedName name="C_Tot_Equip">'Provider Total Budget by Serv'!$G$115</definedName>
    <definedName name="C_Tot_Meals_Food">'Provider Total Budget by Serv'!$G$93</definedName>
    <definedName name="C_Tot_Personnel">'Provider Total Budget by Serv'!$G$37</definedName>
    <definedName name="C_Tot_ProDev">'Provider Total Budget by Serv'!$G$54</definedName>
    <definedName name="C_Tot_TranspTrav">'Provider Total Budget by Serv'!$G$204</definedName>
    <definedName name="C_Total_All_Cost_Areas">'Provider Total Budget by Serv'!$G$278</definedName>
    <definedName name="C_Total_Personnel">'Provider Total Budget by Serv'!$G$37</definedName>
    <definedName name="C_TotalBudgetedMeals">'Provider Total Budget by Serv'!$G$294</definedName>
    <definedName name="C_TotalPurchasedMeals">'Provider Total Budget by Serv'!$G$292</definedName>
    <definedName name="C_Utilities_Bldg">'Provider Total Budget by Serv'!$G$126</definedName>
    <definedName name="CM_Provider_Prepared_Chilled_Meals">'Provider Total Budget by Serv'!$G$284</definedName>
    <definedName name="CM_Provider_Prepared_Frozen_Meals">'Provider Total Budget by Serv'!$G$283</definedName>
    <definedName name="CM_Provider_Prepared_Hot_Meals">'Provider Total Budget by Serv'!$G$282</definedName>
    <definedName name="CM_Purchased_Chilled_Meals">'Provider Total Budget by Serv'!$G$290</definedName>
    <definedName name="HD__Benefits">'Provider Total Budget by Serv'!$D$29</definedName>
    <definedName name="HD_Acct_Fees">'Provider Total Budget by Serv'!$D$255</definedName>
    <definedName name="HD_Advertising">'Provider Total Budget by Serv'!$D$210</definedName>
    <definedName name="HD_Audit">'Provider Total Budget by Serv'!$D$270</definedName>
    <definedName name="HD_Conference">'Provider Total Budget by Serv'!$D$43</definedName>
    <definedName name="HD_Consult_Fees">'Provider Total Budget by Serv'!$D$260</definedName>
    <definedName name="HD_Consumables">'Provider Total Budget by Serv'!$D$87</definedName>
    <definedName name="HD_Contract_Staff">'Provider Total Budget by Serv'!$D$36</definedName>
    <definedName name="HD_Contractual_Admin">'Provider Total Budget by Serv'!$D$230</definedName>
    <definedName name="HD_Copying">'Provider Total Budget by Serv'!$D$220</definedName>
    <definedName name="HD_Delivery">'Provider Total Budget by Serv'!$D$173</definedName>
    <definedName name="HD_Depreciation_Bldg">'Provider Total Budget by Serv'!$D$131</definedName>
    <definedName name="HD_Depreciation_Equip">'Provider Total Budget by Serv'!$D$99</definedName>
    <definedName name="HD_Depreciation_Transp">'Provider Total Budget by Serv'!$D$193</definedName>
    <definedName name="HD_Dues">'Provider Total Budget by Serv'!$D$48</definedName>
    <definedName name="HD_Equip_Leasing">'Provider Total Budget by Serv'!$D$109</definedName>
    <definedName name="HD_Equip_Maintenance">'Provider Total Budget by Serv'!$D$114</definedName>
    <definedName name="HD_GasOil">'Provider Total Budget by Serv'!$D$178</definedName>
    <definedName name="HD_HotPrepMealsPurchfromSupplierCentralKitch">'Provider Total Budget by Serv'!$D$288</definedName>
    <definedName name="HD_Insurance_Bldg">'Provider Total Budget by Serv'!$D$141</definedName>
    <definedName name="HD_Insurance_Transp">'Provider Total Budget by Serv'!$D$188</definedName>
    <definedName name="HD_Interest_Equip">'Provider Total Budget by Serv'!$D$104</definedName>
    <definedName name="HD_Interest_Transp">'Provider Total Budget by Serv'!$D$198</definedName>
    <definedName name="HD_Janitorial">'Provider Total Budget by Serv'!$D$151</definedName>
    <definedName name="HD_Legal_Fees">'Provider Total Budget by Serv'!$D$250</definedName>
    <definedName name="HD_Liability_Ins">'Provider Total Budget by Serv'!$D$245</definedName>
    <definedName name="HD_Materials">'Provider Total Budget by Serv'!$D$53</definedName>
    <definedName name="HD_Meal_Freight">'Provider Total Budget by Serv'!$D$73</definedName>
    <definedName name="HD_MealsPreparedByProvider">'Provider Total Budget by Serv'!$D$286</definedName>
    <definedName name="HD_Mileage">'Provider Total Budget by Serv'!$D$168</definedName>
    <definedName name="HD_Mortgage_Interst_Bldg">'Provider Total Budget by Serv'!$D$136</definedName>
    <definedName name="HD_O_Supply">'Provider Total Budget by Serv'!$D$225</definedName>
    <definedName name="HD_Other_Fees_Admin">'Provider Total Budget by Serv'!$D$265</definedName>
    <definedName name="HD_Other_Meal">'Provider Total Budget by Serv'!$D$92</definedName>
    <definedName name="HD_Other_Misc_Admin">'Provider Total Budget by Serv'!$D$275</definedName>
    <definedName name="HD_Percentage_of_Total_Meals">'Provider Total Budget by Serv'!$D$295</definedName>
    <definedName name="HD_Postage">'Provider Total Budget by Serv'!$D$235</definedName>
    <definedName name="HD_Printing">'Provider Total Budget by Serv'!$D$215</definedName>
    <definedName name="HD_Purchased_ChilledMeals">'Provider Total Budget by Serv'!$D$65</definedName>
    <definedName name="HD_Purchased_Frozen_Meals">'Provider Total Budget by Serv'!$D$64</definedName>
    <definedName name="HD_Purchased_Hot_Meals">'Provider Total Budget by Serv'!$D$63</definedName>
    <definedName name="HD_Purchased_ShelfStableMeals">'Provider Total Budget by Serv'!$D$66</definedName>
    <definedName name="HD_PurchasedFrozenMeals">'Provider Total Budget by Serv'!$D$289</definedName>
    <definedName name="HD_PurchasedMeals">'Provider Total Budget by Serv'!$D$68</definedName>
    <definedName name="HD_PurchasedShelfStableMeals">'Provider Total Budget by Serv'!$D$291</definedName>
    <definedName name="HD_RawFood">'Provider Total Budget by Serv'!$D$61</definedName>
    <definedName name="HD_Rent_Bldg">'Provider Total Budget by Serv'!$D$121</definedName>
    <definedName name="HD_Repair_Bldg">'Provider Total Budget by Serv'!$D$156</definedName>
    <definedName name="HD_Repair_Transp">'Provider Total Budget by Serv'!$D$183</definedName>
    <definedName name="HD_Salaries">'Provider Total Budget by Serv'!$D$17</definedName>
    <definedName name="HD_Security_Bldg">'Provider Total Budget by Serv'!$D$146</definedName>
    <definedName name="HD_Storage">'Provider Total Budget by Serv'!$D$78</definedName>
    <definedName name="HD_T_Sal">'Provider Total Budget by Serv'!$D$17</definedName>
    <definedName name="HD_Tags">'Provider Total Budget by Serv'!$D$203</definedName>
    <definedName name="HD_Taxes">'Provider Total Budget by Serv'!$D$161</definedName>
    <definedName name="HD_Telecom">'Provider Total Budget by Serv'!$D$240</definedName>
    <definedName name="HD_Tot_Admin">'Provider Total Budget by Serv'!$D$276</definedName>
    <definedName name="HD_Tot_Bldg">'Provider Total Budget by Serv'!$D$162</definedName>
    <definedName name="HD_Tot_Equip">'Provider Total Budget by Serv'!$D$115</definedName>
    <definedName name="HD_Tot_Meals_Food">'Provider Total Budget by Serv'!$D$93</definedName>
    <definedName name="HD_Tot_Personnel">'Provider Total Budget by Serv'!$D$37</definedName>
    <definedName name="HD_Tot_ProDev">'Provider Total Budget by Serv'!$D$54</definedName>
    <definedName name="HD_Tot_TranspTrav">'Provider Total Budget by Serv'!$D$204</definedName>
    <definedName name="HD_Total_All_Cost_Areas">'Provider Total Budget by Serv'!$D$278</definedName>
    <definedName name="HD_TotalBudgetedMeals">'Provider Total Budget by Serv'!$D$294</definedName>
    <definedName name="HD_TotalPurchasedMeals">'Provider Total Budget by Serv'!$D$292</definedName>
    <definedName name="HD_Utilities_Bldg">'Provider Total Budget by Serv'!$D$126</definedName>
    <definedName name="HDM_Provider_Prepared_Chilled_Meals">'Provider Total Budget by Serv'!$D$284</definedName>
    <definedName name="HDM_Provider_Prepared_Frozen_Meals">'Provider Total Budget by Serv'!$D$283</definedName>
    <definedName name="HDM_Provider_Prepared_Hot_Meals">'Provider Total Budget by Serv'!$D$282</definedName>
    <definedName name="HDM_Purchased_Chilled_Meals">'Provider Total Budget by Serv'!$D$290</definedName>
    <definedName name="NE_AAA_Benefits">'Provider Total Budget by Serv'!$E$29</definedName>
    <definedName name="NE_AAA_Conference">'Provider Total Budget by Serv'!$E$43</definedName>
    <definedName name="NE_AAA_Contract_Staff">'Provider Total Budget by Serv'!$E$36</definedName>
    <definedName name="NE_AAA_Dues">'Provider Total Budget by Serv'!$E$48</definedName>
    <definedName name="NE_AAA_Materials">'Provider Total Budget by Serv'!$E$53</definedName>
    <definedName name="NE_AAA_Salaries">'Provider Total Budget by Serv'!$E$17</definedName>
    <definedName name="NE_AAA_Tot_Personnel">'Provider Total Budget by Serv'!$E$37</definedName>
    <definedName name="NE_AAA_Tot_ProDev">'Provider Total Budget by Serv'!$E$54</definedName>
    <definedName name="NE_AAA_Total_All_Cost_Areas">'Provider Total Budget by Serv'!$E$278</definedName>
    <definedName name="NE_RLS__Total_All_Cost_Areas">'Provider Total Budget by Serv'!$F$278</definedName>
    <definedName name="NE_RLS_Benefits">'Provider Total Budget by Serv'!$F$29</definedName>
    <definedName name="NE_RLS_Conference">'Provider Total Budget by Serv'!$F$43</definedName>
    <definedName name="NE_RLS_Contract_Staff">'Provider Total Budget by Serv'!$F$36</definedName>
    <definedName name="NE_RLS_Dues">'Provider Total Budget by Serv'!$F$48</definedName>
    <definedName name="NE_RLS_Materials">'Provider Total Budget by Serv'!$F$53</definedName>
    <definedName name="NE_RLS_Salaries">'Provider Total Budget by Serv'!$F$17</definedName>
    <definedName name="NE_RLS_T_Sal">'Provider Total Budget by Serv'!$F$17</definedName>
    <definedName name="NE_RLS_Tot_Personnel">'Provider Total Budget by Serv'!$F$37</definedName>
    <definedName name="NE_RLS_Tot_ProDev">'Provider Total Budget by Serv'!$F$54</definedName>
    <definedName name="_xlnm.Print_Area" localSheetId="3">'Analysis Tool'!$A$5:$K$71</definedName>
    <definedName name="_xlnm.Print_Area" localSheetId="10">'Certification CM'!$B$1:$K$45</definedName>
    <definedName name="_xlnm.Print_Area" localSheetId="5">'Certification HDM'!$B$1:$K$48</definedName>
    <definedName name="_xlnm.Print_Area" localSheetId="14">'Certification PA'!$B$1:$K$47</definedName>
    <definedName name="_xlnm.Print_Area" localSheetId="8">'Congregate Meal Budget'!$A$13:$P$106</definedName>
    <definedName name="_xlnm.Print_Area" localSheetId="4">'Home Delivered Meal Budget'!$A$1:$P$104</definedName>
    <definedName name="_xlnm.Print_Area" localSheetId="11">'In-Kind Certification CM'!$B$1:$G$48</definedName>
    <definedName name="_xlnm.Print_Area" localSheetId="7">'In-Kind Certification HDM'!$A$1:$H$51</definedName>
    <definedName name="_xlnm.Print_Area" localSheetId="15">'In-Kind Certification PA'!$B$1:$G$48</definedName>
    <definedName name="_xlnm.Print_Area" localSheetId="19">'In-Kind Certification Transp'!$B$1:$G$48</definedName>
    <definedName name="_xlnm.Print_Area" localSheetId="12">'Participant Assessment Budget'!$A$13:$O$101</definedName>
    <definedName name="_xlnm.Print_Area" localSheetId="0">'Provider Information'!$A$1:$M$49</definedName>
    <definedName name="_xlnm.Print_Area" localSheetId="1">'Provider Total Budget by Serv'!$A$6:$P$300</definedName>
    <definedName name="_xlnm.Print_Area" localSheetId="16">'Transportation Budget'!$A$13:$O$98</definedName>
    <definedName name="_xlnm.Print_Area" localSheetId="9">'Unit Rate Calculation CM'!$B$1:$K$61</definedName>
    <definedName name="_xlnm.Print_Area" localSheetId="6">'Unit Rate Calculation HDM'!$B$1:$K$62</definedName>
    <definedName name="_xlnm.Print_Area" localSheetId="13">'Unit Rate Calculation PA'!$A$1:$M$60</definedName>
    <definedName name="_xlnm.Print_Area" localSheetId="17">'Unit Rate Calculation Transp'!$B$1:$M$61</definedName>
    <definedName name="_xlnm.Print_Titles" localSheetId="3">'Analysis Tool'!$1:$4</definedName>
    <definedName name="_xlnm.Print_Titles" localSheetId="8">'Congregate Meal Budget'!$1:$12</definedName>
    <definedName name="_xlnm.Print_Titles" localSheetId="4">'Home Delivered Meal Budget'!$1:$12</definedName>
    <definedName name="_xlnm.Print_Titles" localSheetId="12">'Participant Assessment Budget'!$1:$12</definedName>
    <definedName name="_xlnm.Print_Titles" localSheetId="1">'Provider Total Budget by Serv'!$1:$4</definedName>
    <definedName name="_xlnm.Print_Titles" localSheetId="16">'Transportation Budget'!$1:$12</definedName>
    <definedName name="Total_Acct_Fees">'Provider Total Budget by Serv'!$C$255</definedName>
    <definedName name="Total_Advertising">'Provider Total Budget by Serv'!$C$210</definedName>
    <definedName name="Total_Audit">'Provider Total Budget by Serv'!$C$270</definedName>
    <definedName name="Total_Benefits">'Provider Total Budget by Serv'!$C$29</definedName>
    <definedName name="Total_Conference">'Provider Total Budget by Serv'!$C$43</definedName>
    <definedName name="Total_Consult_Fees">'Provider Total Budget by Serv'!$C$260</definedName>
    <definedName name="Total_Consumables">'Provider Total Budget by Serv'!$C$87</definedName>
    <definedName name="Total_Contract_Staff">'Provider Total Budget by Serv'!$C$36</definedName>
    <definedName name="Total_Contractual_Admin">'Provider Total Budget by Serv'!$C$230</definedName>
    <definedName name="Total_Copying">'Provider Total Budget by Serv'!$C$220</definedName>
    <definedName name="Total_Delivery">'Provider Total Budget by Serv'!$C$173</definedName>
    <definedName name="Total_Depreciation_Bldg">'Provider Total Budget by Serv'!$C$131</definedName>
    <definedName name="Total_Depreciation_Equip">'Provider Total Budget by Serv'!$C$99</definedName>
    <definedName name="Total_Depreciation_Transp">'Provider Total Budget by Serv'!$C$193</definedName>
    <definedName name="Total_Dues">'Provider Total Budget by Serv'!$C$48</definedName>
    <definedName name="Total_Equip_Leasing">'Provider Total Budget by Serv'!$C$109</definedName>
    <definedName name="Total_Equip_Maintenance">'Provider Total Budget by Serv'!$C$114</definedName>
    <definedName name="Total_GasOil">'Provider Total Budget by Serv'!$C$178</definedName>
    <definedName name="Total_HotPrepMealsPurchfromSupplierCentralKitch">'Provider Total Budget by Serv'!$C$288</definedName>
    <definedName name="Total_Insurance_Bldg">'Provider Total Budget by Serv'!$C$141</definedName>
    <definedName name="Total_Insurance_Transp">'Provider Total Budget by Serv'!$C$188</definedName>
    <definedName name="Total_Interest_Equip">'Provider Total Budget by Serv'!$C$104</definedName>
    <definedName name="Total_Interest_Transp">'Provider Total Budget by Serv'!$C$198</definedName>
    <definedName name="Total_Janitorial">'Provider Total Budget by Serv'!$C$151</definedName>
    <definedName name="Total_Legal_Fees">'Provider Total Budget by Serv'!$C$250</definedName>
    <definedName name="Total_Liability_Ins">'Provider Total Budget by Serv'!$C$245</definedName>
    <definedName name="Total_Materials">'Provider Total Budget by Serv'!$C$53</definedName>
    <definedName name="Total_Meal_Freight">'Provider Total Budget by Serv'!$C$73</definedName>
    <definedName name="Total_MealsPreparedByProvider">'Provider Total Budget by Serv'!$C$286</definedName>
    <definedName name="Total_Mileage">'Provider Total Budget by Serv'!$C$168</definedName>
    <definedName name="Total_Mortgage_Interst_Bldg">'Provider Total Budget by Serv'!$C$136</definedName>
    <definedName name="Total_O_Supply">'Provider Total Budget by Serv'!$C$225</definedName>
    <definedName name="Total_Other_Fees_Admin">'Provider Total Budget by Serv'!$C$265</definedName>
    <definedName name="Total_Other_Meal">'Provider Total Budget by Serv'!$C$92</definedName>
    <definedName name="Total_Other_Misc_Admin">'Provider Total Budget by Serv'!$C$275</definedName>
    <definedName name="Total_Payroll_Taxes___Benefits__Employer_Paid">'Provider Total Budget by Serv'!$C$29</definedName>
    <definedName name="Total_Postage">'Provider Total Budget by Serv'!$C$235</definedName>
    <definedName name="Total_Printing">'Provider Total Budget by Serv'!$C$215</definedName>
    <definedName name="Total_Provider_Prepared_Chilled_Meals">'Provider Total Budget by Serv'!$C$284</definedName>
    <definedName name="Total_Provider_Prepared_Frozen_Meals">'Provider Total Budget by Serv'!$C$283</definedName>
    <definedName name="Total_Provider_Prepared_Hot_Meals">'Provider Total Budget by Serv'!$C$282</definedName>
    <definedName name="Total_Purchased_Chilled_Meals">'Provider Total Budget by Serv'!$C$290</definedName>
    <definedName name="Total_Purchased_ChilledMeals">'Provider Total Budget by Serv'!$C$65</definedName>
    <definedName name="Total_Purchased_Frozen_Meals">'Provider Total Budget by Serv'!$C$64</definedName>
    <definedName name="Total_Purchased_Hot_Meals">'Provider Total Budget by Serv'!$C$63</definedName>
    <definedName name="Total_Purchased_ShelfStableMeals">'Provider Total Budget by Serv'!$C$66</definedName>
    <definedName name="Total_PurchasedFrozenMeals">'Provider Total Budget by Serv'!$C$289</definedName>
    <definedName name="Total_PurchasedMeals">'Provider Total Budget by Serv'!$C$68</definedName>
    <definedName name="Total_PurchasedShelfStableMeals">'Provider Total Budget by Serv'!$C$291</definedName>
    <definedName name="Total_RawFood">'Provider Total Budget by Serv'!$C$61</definedName>
    <definedName name="Total_Rent_Bldg">'Provider Total Budget by Serv'!$C$121</definedName>
    <definedName name="Total_Repair_Bldg">'Provider Total Budget by Serv'!$C$156</definedName>
    <definedName name="Total_Repair_Transp">'Provider Total Budget by Serv'!$C$183</definedName>
    <definedName name="Total_Salaries">'Provider Total Budget by Serv'!$C$17</definedName>
    <definedName name="Total_Security_Bldg">'Provider Total Budget by Serv'!$C$146</definedName>
    <definedName name="Total_Storage">'Provider Total Budget by Serv'!$C$78</definedName>
    <definedName name="Total_Tags">'Provider Total Budget by Serv'!$C$203</definedName>
    <definedName name="Total_Taxes">'Provider Total Budget by Serv'!$C$161</definedName>
    <definedName name="Total_Telecom">'Provider Total Budget by Serv'!$C$240</definedName>
    <definedName name="Total_Tot_Admin">'Provider Total Budget by Serv'!$C$276</definedName>
    <definedName name="Total_Tot_Bldg">'Provider Total Budget by Serv'!$C$162</definedName>
    <definedName name="Total_Tot_Equip">'Provider Total Budget by Serv'!$C$115</definedName>
    <definedName name="Total_Tot_Meals_Food">'Provider Total Budget by Serv'!$C$93</definedName>
    <definedName name="Total_Tot_Personnel">'Provider Total Budget by Serv'!$C$37</definedName>
    <definedName name="Total_Tot_ProDev">'Provider Total Budget by Serv'!$C$54</definedName>
    <definedName name="Total_Tot_TranspTrav">'Provider Total Budget by Serv'!$C$204</definedName>
    <definedName name="Total_Total_All_Cost_Areas">'Provider Total Budget by Serv'!$C$278</definedName>
    <definedName name="Total_TotalBudgetedMeals">'Provider Total Budget by Serv'!$C$294</definedName>
    <definedName name="Total_TotalPurchasedMeals">'Provider Total Budget by Serv'!$C$292</definedName>
    <definedName name="Total_Utilities_Bldg">'Provider Total Budget by Serv'!$C$126</definedName>
    <definedName name="Z_77E975B4_E38D_4535_BE87_54788ABB15EB_.wvu.PrintArea" localSheetId="7" hidden="1">'In-Kind Certification HDM'!$A$5:$H$51</definedName>
    <definedName name="Z_77E975B4_E38D_4535_BE87_54788ABB15EB_.wvu.PrintArea" localSheetId="6" hidden="1">'Unit Rate Calculation HDM'!$B$6:$K$62</definedName>
    <definedName name="Z_DDFE7685_90A4_42DC_AFD9_89B5EC30420E_.wvu.PrintArea" localSheetId="3" hidden="1">'Analysis Tool'!$A$5:$K$71</definedName>
    <definedName name="Z_DDFE7685_90A4_42DC_AFD9_89B5EC30420E_.wvu.PrintArea" localSheetId="10" hidden="1">'Certification CM'!$B$1:$K$45</definedName>
    <definedName name="Z_DDFE7685_90A4_42DC_AFD9_89B5EC30420E_.wvu.PrintArea" localSheetId="5" hidden="1">'Certification HDM'!$B$1:$K$48</definedName>
    <definedName name="Z_DDFE7685_90A4_42DC_AFD9_89B5EC30420E_.wvu.PrintArea" localSheetId="14" hidden="1">'Certification PA'!$B$1:$K$47</definedName>
    <definedName name="Z_DDFE7685_90A4_42DC_AFD9_89B5EC30420E_.wvu.PrintArea" localSheetId="8" hidden="1">'Congregate Meal Budget'!$A$13:$P$106</definedName>
    <definedName name="Z_DDFE7685_90A4_42DC_AFD9_89B5EC30420E_.wvu.PrintArea" localSheetId="4" hidden="1">'Home Delivered Meal Budget'!$A$1:$P$104</definedName>
    <definedName name="Z_DDFE7685_90A4_42DC_AFD9_89B5EC30420E_.wvu.PrintArea" localSheetId="11" hidden="1">'In-Kind Certification CM'!$B$1:$G$48</definedName>
    <definedName name="Z_DDFE7685_90A4_42DC_AFD9_89B5EC30420E_.wvu.PrintArea" localSheetId="7" hidden="1">'In-Kind Certification HDM'!$A$1:$H$51</definedName>
    <definedName name="Z_DDFE7685_90A4_42DC_AFD9_89B5EC30420E_.wvu.PrintArea" localSheetId="15" hidden="1">'In-Kind Certification PA'!$B$1:$G$48</definedName>
    <definedName name="Z_DDFE7685_90A4_42DC_AFD9_89B5EC30420E_.wvu.PrintArea" localSheetId="19" hidden="1">'In-Kind Certification Transp'!$B$1:$G$48</definedName>
    <definedName name="Z_DDFE7685_90A4_42DC_AFD9_89B5EC30420E_.wvu.PrintArea" localSheetId="12" hidden="1">'Participant Assessment Budget'!$A$13:$O$101</definedName>
    <definedName name="Z_DDFE7685_90A4_42DC_AFD9_89B5EC30420E_.wvu.PrintArea" localSheetId="0" hidden="1">'Provider Information'!$A$1:$M$49</definedName>
    <definedName name="Z_DDFE7685_90A4_42DC_AFD9_89B5EC30420E_.wvu.PrintArea" localSheetId="1" hidden="1">'Provider Total Budget by Serv'!$A$6:$P$300</definedName>
    <definedName name="Z_DDFE7685_90A4_42DC_AFD9_89B5EC30420E_.wvu.PrintArea" localSheetId="16" hidden="1">'Transportation Budget'!$A$13:$O$98</definedName>
    <definedName name="Z_DDFE7685_90A4_42DC_AFD9_89B5EC30420E_.wvu.PrintArea" localSheetId="9" hidden="1">'Unit Rate Calculation CM'!$B$1:$K$61</definedName>
    <definedName name="Z_DDFE7685_90A4_42DC_AFD9_89B5EC30420E_.wvu.PrintArea" localSheetId="6" hidden="1">'Unit Rate Calculation HDM'!$B$1:$K$62</definedName>
    <definedName name="Z_DDFE7685_90A4_42DC_AFD9_89B5EC30420E_.wvu.PrintArea" localSheetId="13" hidden="1">'Unit Rate Calculation PA'!$A$1:$M$60</definedName>
    <definedName name="Z_DDFE7685_90A4_42DC_AFD9_89B5EC30420E_.wvu.PrintArea" localSheetId="17" hidden="1">'Unit Rate Calculation Transp'!$B$1:$M$61</definedName>
    <definedName name="Z_DDFE7685_90A4_42DC_AFD9_89B5EC30420E_.wvu.PrintTitles" localSheetId="3" hidden="1">'Analysis Tool'!$1:$4</definedName>
    <definedName name="Z_DDFE7685_90A4_42DC_AFD9_89B5EC30420E_.wvu.PrintTitles" localSheetId="8" hidden="1">'Congregate Meal Budget'!$1:$12</definedName>
    <definedName name="Z_DDFE7685_90A4_42DC_AFD9_89B5EC30420E_.wvu.PrintTitles" localSheetId="4" hidden="1">'Home Delivered Meal Budget'!$1:$12</definedName>
    <definedName name="Z_DDFE7685_90A4_42DC_AFD9_89B5EC30420E_.wvu.PrintTitles" localSheetId="12" hidden="1">'Participant Assessment Budget'!$1:$12</definedName>
    <definedName name="Z_DDFE7685_90A4_42DC_AFD9_89B5EC30420E_.wvu.PrintTitles" localSheetId="1" hidden="1">'Provider Total Budget by Serv'!$1:$4</definedName>
    <definedName name="Z_DDFE7685_90A4_42DC_AFD9_89B5EC30420E_.wvu.PrintTitles" localSheetId="16" hidden="1">'Transportation Budget'!$1:$12</definedName>
    <definedName name="Z_DDFE7685_90A4_42DC_AFD9_89B5EC30420E_.wvu.Rows" localSheetId="4" hidden="1">'Home Delivered Meal Budget'!$91:$91</definedName>
    <definedName name="Z_DDFE7685_90A4_42DC_AFD9_89B5EC30420E_.wvu.Rows" localSheetId="1" hidden="1">'Provider Total Budget by Serv'!$16:$16,'Provider Total Budget by Serv'!$28:$28,'Provider Total Budget by Serv'!$35:$35,'Provider Total Budget by Serv'!$42:$42,'Provider Total Budget by Serv'!$47:$47,'Provider Total Budget by Serv'!$52:$52,'Provider Total Budget by Serv'!$60:$60,'Provider Total Budget by Serv'!$67:$67,'Provider Total Budget by Serv'!$72:$72,'Provider Total Budget by Serv'!$77:$77,'Provider Total Budget by Serv'!$86:$86,'Provider Total Budget by Serv'!$91:$91,'Provider Total Budget by Serv'!$98:$98,'Provider Total Budget by Serv'!$103:$103,'Provider Total Budget by Serv'!$108:$108,'Provider Total Budget by Serv'!$113:$113,'Provider Total Budget by Serv'!$120:$120,'Provider Total Budget by Serv'!$125:$125,'Provider Total Budget by Serv'!$130:$130,'Provider Total Budget by Serv'!$135:$135,'Provider Total Budget by Serv'!$140:$140,'Provider Total Budget by Serv'!$145:$145,'Provider Total Budget by Serv'!$150:$150,'Provider Total Budget by Serv'!$155:$155,'Provider Total Budget by Serv'!$160:$160,'Provider Total Budget by Serv'!$167:$167,'Provider Total Budget by Serv'!$172:$172,'Provider Total Budget by Serv'!$177:$177,'Provider Total Budget by Serv'!$182:$182,'Provider Total Budget by Serv'!$187:$187,'Provider Total Budget by Serv'!$192:$192,'Provider Total Budget by Serv'!$197:$197,'Provider Total Budget by Serv'!$202:$202,'Provider Total Budget by Serv'!$209:$209,'Provider Total Budget by Serv'!$214:$214,'Provider Total Budget by Serv'!$219:$219,'Provider Total Budget by Serv'!$224:$224,'Provider Total Budget by Serv'!$229:$229,'Provider Total Budget by Serv'!$234:$234,'Provider Total Budget by Serv'!$239:$239,'Provider Total Budget by Serv'!$244:$244,'Provider Total Budget by Serv'!$249:$249,'Provider Total Budget by Serv'!$254:$254,'Provider Total Budget by Serv'!$259:$259,'Provider Total Budget by Serv'!$264:$264,'Provider Total Budget by Serv'!$269:$269,'Provider Total Budget by Serv'!$274:$274</definedName>
  </definedNames>
  <calcPr fullCalcOnLoad="1"/>
</workbook>
</file>

<file path=xl/sharedStrings.xml><?xml version="1.0" encoding="utf-8"?>
<sst xmlns="http://schemas.openxmlformats.org/spreadsheetml/2006/main" count="1298" uniqueCount="463">
  <si>
    <t>1.</t>
  </si>
  <si>
    <t>Total</t>
  </si>
  <si>
    <t>2.</t>
  </si>
  <si>
    <t>3.</t>
  </si>
  <si>
    <t>Interest</t>
  </si>
  <si>
    <t xml:space="preserve"> </t>
  </si>
  <si>
    <t>Rent</t>
  </si>
  <si>
    <t>Utilities</t>
  </si>
  <si>
    <t>Security</t>
  </si>
  <si>
    <t>Janitorial</t>
  </si>
  <si>
    <t>Printing</t>
  </si>
  <si>
    <t>Copying</t>
  </si>
  <si>
    <t>Office Supplies</t>
  </si>
  <si>
    <t>Postage</t>
  </si>
  <si>
    <t>Telecommunications</t>
  </si>
  <si>
    <t>Liability Insurance</t>
  </si>
  <si>
    <t>Legal Fees</t>
  </si>
  <si>
    <t>Audit</t>
  </si>
  <si>
    <t>Advertising</t>
  </si>
  <si>
    <t>Contractual Agreements</t>
  </si>
  <si>
    <t>Raw Food</t>
  </si>
  <si>
    <t>Freight</t>
  </si>
  <si>
    <t>Delivery</t>
  </si>
  <si>
    <t>Gas &amp; Oil</t>
  </si>
  <si>
    <t>Accounting Fees</t>
  </si>
  <si>
    <t>Consulting Fees</t>
  </si>
  <si>
    <t xml:space="preserve">Provider Name: </t>
  </si>
  <si>
    <t>Mileage Reimbursement</t>
  </si>
  <si>
    <t>Total of all Cost Areas</t>
  </si>
  <si>
    <t>Tags &amp; Licenses</t>
  </si>
  <si>
    <t>Title XX</t>
  </si>
  <si>
    <t>Reimbursement Calculation</t>
  </si>
  <si>
    <t>N/A</t>
  </si>
  <si>
    <t>Legal Name of Contracted Provider</t>
  </si>
  <si>
    <t>Printed/Typed Name of Signer</t>
  </si>
  <si>
    <t>Signature</t>
  </si>
  <si>
    <t>Date</t>
  </si>
  <si>
    <t>Name of Area Agency on Aging</t>
  </si>
  <si>
    <t>Program Income</t>
  </si>
  <si>
    <t>Mortgage Interest</t>
  </si>
  <si>
    <t>IN-KIND MATCH CERTIFICATION</t>
  </si>
  <si>
    <t xml:space="preserve">Provider: </t>
  </si>
  <si>
    <t>In-kind Contribution(s):</t>
  </si>
  <si>
    <t>ITEM</t>
  </si>
  <si>
    <t>DATE OF RECEIPT</t>
  </si>
  <si>
    <t>TOTAL</t>
  </si>
  <si>
    <t>Note:</t>
  </si>
  <si>
    <r>
      <t xml:space="preserve">All contributions must meet the requirements of IRS Publication 561  
</t>
    </r>
    <r>
      <rPr>
        <u val="single"/>
        <sz val="11"/>
        <color indexed="12"/>
        <rFont val="Times New Roman"/>
        <family val="1"/>
      </rPr>
      <t>http://www.irs.gov/pub/irs-pdf/p561.pdf</t>
    </r>
  </si>
  <si>
    <t>Examples of Documentation Include:</t>
  </si>
  <si>
    <t>Rent:</t>
  </si>
  <si>
    <t>Letter of Agreement with Owner</t>
  </si>
  <si>
    <t>Labor:</t>
  </si>
  <si>
    <t>Minimum wage</t>
  </si>
  <si>
    <t>were not in-kind then you cannot count it.</t>
  </si>
  <si>
    <t xml:space="preserve">Utilities: </t>
  </si>
  <si>
    <t>Copy of Bill</t>
  </si>
  <si>
    <t>Agreement of Amount Paid if Partial</t>
  </si>
  <si>
    <r>
      <t xml:space="preserve">        </t>
    </r>
    <r>
      <rPr>
        <b/>
        <sz val="11"/>
        <rFont val="Times New Roman"/>
        <family val="1"/>
      </rPr>
      <t>Name of Contracted Provider</t>
    </r>
  </si>
  <si>
    <t>Calculation of In-Kind Value</t>
  </si>
  <si>
    <t>1. Required Match Rate</t>
  </si>
  <si>
    <t>3. Required Match Rate (1) Multiplied by the anticipated number of TDoA units (2)</t>
  </si>
  <si>
    <t>4. Total Valuation from the In-Kind Certification</t>
  </si>
  <si>
    <t>5. Balance of Required Match (3-4)</t>
  </si>
  <si>
    <t>8. Required Match Rate</t>
  </si>
  <si>
    <t>7. Balance of Required Match (5) Divided by TDoA units (6)</t>
  </si>
  <si>
    <t>9. Reduced Required Match If (8) is equal to or less than 0 this will equal (8) or else (8-7)</t>
  </si>
  <si>
    <t>Funding Source</t>
  </si>
  <si>
    <t>Local Funds - Required Match</t>
  </si>
  <si>
    <t>Revenue</t>
  </si>
  <si>
    <t>Calculated Rate</t>
  </si>
  <si>
    <t>Proposed Meals</t>
  </si>
  <si>
    <t>Proposed Meals * Calculated Units</t>
  </si>
  <si>
    <t>NA</t>
  </si>
  <si>
    <t>2. TDoA units + DHS units</t>
  </si>
  <si>
    <t>BUDGET WORKSHEET CALCULATION OF THE PER MEAL UNIT RATE</t>
  </si>
  <si>
    <t>VALUE</t>
  </si>
  <si>
    <t>Adequate Valuation of Property on a Current Basis (this should be reviewed at least every two years and if senior center, based on property value and center participation)</t>
  </si>
  <si>
    <t xml:space="preserve">All in-kind labor must be required for the service to be provided.  If you would not hire someone to perform the labor if it </t>
  </si>
  <si>
    <t>6. TDoA units + DHS units</t>
  </si>
  <si>
    <t>BUDGET WORKSHEET CERTIFICATION</t>
  </si>
  <si>
    <t xml:space="preserve">        AS SIGNER OF THIS BUDGET WORKSHEET, I HEREBY CERTIFY THAT:</t>
  </si>
  <si>
    <t>·</t>
  </si>
  <si>
    <t>I have read the note below and the instructions applicable to this budget worksheet.</t>
  </si>
  <si>
    <t>I have reviewed this budget worksheet after its preparation.</t>
  </si>
  <si>
    <t>To the best of my knowledge and belief, this budget worksheet is true, correct and</t>
  </si>
  <si>
    <t>complete, and was prepared in accordance with the instructions applicable to this</t>
  </si>
  <si>
    <t>budget worksheet.</t>
  </si>
  <si>
    <t>This budget worksheet was prepared from the books and records of the contracted</t>
  </si>
  <si>
    <t>provider.</t>
  </si>
  <si>
    <t xml:space="preserve">    Note: </t>
  </si>
  <si>
    <t>The person legally responsible for the conduct of the contracted provider must</t>
  </si>
  <si>
    <t>sign this Budget Worksheet Certification.  If a sole proprietor, the owner</t>
  </si>
  <si>
    <t xml:space="preserve">must sign the Budget Worksheet Certification.  If a partnership, a partner must </t>
  </si>
  <si>
    <t xml:space="preserve">sign the Budget Worksheet Certification.  If a corporation, the person authorized by the </t>
  </si>
  <si>
    <t xml:space="preserve">Board of Directors Resolution must sign the Budget Worksheet Certification.  </t>
  </si>
  <si>
    <t xml:space="preserve">Misrepresentation of information contained in the budget worksheet may result in </t>
  </si>
  <si>
    <t xml:space="preserve">adverse action, up to and including contract termination.  Furthermore, falsification of </t>
  </si>
  <si>
    <t>information in the budget worksheet may result in a referral for prosecution.</t>
  </si>
  <si>
    <t>Name of Contracted Provider</t>
  </si>
  <si>
    <t>Signer Authority:</t>
  </si>
  <si>
    <t>Sole Proprietor</t>
  </si>
  <si>
    <t>Association Officer</t>
  </si>
  <si>
    <t xml:space="preserve">    (check one)</t>
  </si>
  <si>
    <t>Partner</t>
  </si>
  <si>
    <t>Board Member</t>
  </si>
  <si>
    <t>Corporate Officer</t>
  </si>
  <si>
    <t xml:space="preserve">Governmental Official           </t>
  </si>
  <si>
    <t>Other Funds - Non-Eligible Meals</t>
  </si>
  <si>
    <t>Other Misc. (Explain)</t>
  </si>
  <si>
    <t>Other Fees (Explain)</t>
  </si>
  <si>
    <r>
      <t xml:space="preserve">Documented prevailing wage in the Area. For prevailing wage information visit the Texas Workforce Commission’s website at  </t>
    </r>
    <r>
      <rPr>
        <u val="single"/>
        <sz val="11"/>
        <color indexed="48"/>
        <rFont val="Times New Roman"/>
        <family val="1"/>
      </rPr>
      <t>http://www.tracer2.com/.</t>
    </r>
  </si>
  <si>
    <t xml:space="preserve">1.  Total Budgeted Expenses for Contract Year </t>
  </si>
  <si>
    <t>4.  Projected NSIP per Meal Value</t>
  </si>
  <si>
    <t>5.  Rate Less NSIP per Meal Value</t>
  </si>
  <si>
    <t>6.  Mandatory Local Match of 10%</t>
  </si>
  <si>
    <t xml:space="preserve">  **  If Applicable, Match Reduction 
       From the In-kind Match 
       Certification form</t>
  </si>
  <si>
    <t>7.  Proposed Meal Rate (Line 3 minus Line 6)</t>
  </si>
  <si>
    <t xml:space="preserve">**  If any portion of the required match is in-kind, you must complete an In-Kind Match Certification form. </t>
  </si>
  <si>
    <t>Calculated Cost per Unit</t>
  </si>
  <si>
    <t>I acknowledge that all books and records related to this rate setting process are</t>
  </si>
  <si>
    <t xml:space="preserve">subject to audit in accordance with contract requirements and all applicable federal </t>
  </si>
  <si>
    <t>and state laws.</t>
  </si>
  <si>
    <t>Home Delivered Meal Program</t>
  </si>
  <si>
    <t>Congregate Meal Program</t>
  </si>
  <si>
    <t>Salaries (Identified by Job Title)</t>
  </si>
  <si>
    <t>Contract staff (Identify by Position)</t>
  </si>
  <si>
    <t>Conference (list Conference &amp; Attendees)</t>
  </si>
  <si>
    <t>Dues (list Organization Name)</t>
  </si>
  <si>
    <t>Materials (list Items)</t>
  </si>
  <si>
    <t>Storage Cost (Food or Supply)</t>
  </si>
  <si>
    <t>Consumables (identify by type)</t>
  </si>
  <si>
    <t>Paper/plastic goods (napkins, plates, utensils, etc)</t>
  </si>
  <si>
    <t>Pots/Pans/Cooking Utensils</t>
  </si>
  <si>
    <t>Non-Capital Equipment (less that $5,000 per item)</t>
  </si>
  <si>
    <t>Depreciation (identify item, year purchased, cost)</t>
  </si>
  <si>
    <t>Interest (Identify Item, year purchased, cost)</t>
  </si>
  <si>
    <t>Leasing (identify Item, year leased)</t>
  </si>
  <si>
    <t xml:space="preserve">Cost Area </t>
  </si>
  <si>
    <t>Insurance (identify type of insurance)</t>
  </si>
  <si>
    <t>Repair (Identify all items over $100.)</t>
  </si>
  <si>
    <t>Maintenance (Identify Item, year purchased, cost)</t>
  </si>
  <si>
    <t>Total Salaries</t>
  </si>
  <si>
    <t>Payroll Taxes &amp; Benefits (Employer Paid)</t>
  </si>
  <si>
    <t>Federal Insurance compensation Act (FICA)</t>
  </si>
  <si>
    <t>Texas Unemployment Compensation Act (TUCA)</t>
  </si>
  <si>
    <t>Federal Unemployment  Tax Act (FUTA)</t>
  </si>
  <si>
    <t>Workers Compensation</t>
  </si>
  <si>
    <t>Health Insurance</t>
  </si>
  <si>
    <t>Retirement</t>
  </si>
  <si>
    <t>Total Payroll Taxes &amp; Benefits (Employer Paid)</t>
  </si>
  <si>
    <t>Total Contract staff</t>
  </si>
  <si>
    <t xml:space="preserve">Total Personnel </t>
  </si>
  <si>
    <t>Total Dues</t>
  </si>
  <si>
    <t>Total Materials</t>
  </si>
  <si>
    <t>Total Professional Development</t>
  </si>
  <si>
    <t>Other (Identify Individually all items over $100.)</t>
  </si>
  <si>
    <t>Balance not budgeted</t>
  </si>
  <si>
    <t>Total Meals/Food</t>
  </si>
  <si>
    <t>Total Consumables</t>
  </si>
  <si>
    <t>Total Other</t>
  </si>
  <si>
    <t>Total Depreciation</t>
  </si>
  <si>
    <t>Total Interest</t>
  </si>
  <si>
    <t>Total Leasing</t>
  </si>
  <si>
    <t>Total Maintenance</t>
  </si>
  <si>
    <t>Total Equipment</t>
  </si>
  <si>
    <t>Total Insurance</t>
  </si>
  <si>
    <t>Total Repair</t>
  </si>
  <si>
    <t>Total Taxes</t>
  </si>
  <si>
    <t>Taxes (Identify Type of Tax)</t>
  </si>
  <si>
    <t>Total Occupancy/Building</t>
  </si>
  <si>
    <t>Total Agency Budget</t>
  </si>
  <si>
    <t>Total Tags &amp; Licenses</t>
  </si>
  <si>
    <t>Total Transportation/Travel</t>
  </si>
  <si>
    <t>Total Administrative &amp; General</t>
  </si>
  <si>
    <t>Total Raw Food</t>
  </si>
  <si>
    <t>Total Freight</t>
  </si>
  <si>
    <t>Total Storage Cost</t>
  </si>
  <si>
    <t>Total Rent</t>
  </si>
  <si>
    <t>Total Utilities</t>
  </si>
  <si>
    <t>Total Security</t>
  </si>
  <si>
    <t>Total Mileage Reimbursement</t>
  </si>
  <si>
    <t>Total Delivery</t>
  </si>
  <si>
    <t>Total Gas &amp; Oil</t>
  </si>
  <si>
    <t>Total Advertising</t>
  </si>
  <si>
    <t>Total Printing</t>
  </si>
  <si>
    <t>Total Copying</t>
  </si>
  <si>
    <t>Total Office supplies</t>
  </si>
  <si>
    <t>Total Contractual Agreements</t>
  </si>
  <si>
    <t>Total Postage</t>
  </si>
  <si>
    <t>Total Telecommunication</t>
  </si>
  <si>
    <t>Total Liability Insurance</t>
  </si>
  <si>
    <t>Total Legal Fees</t>
  </si>
  <si>
    <t>Total Accounting Fees</t>
  </si>
  <si>
    <t>Total Consulting Fees</t>
  </si>
  <si>
    <t>Total Other Fees</t>
  </si>
  <si>
    <t>Total Audit</t>
  </si>
  <si>
    <t>Total other Misc.</t>
  </si>
  <si>
    <t>Provider Total Budget by Service</t>
  </si>
  <si>
    <t>Home Delivered Meal Budget Worksheet</t>
  </si>
  <si>
    <t>Participant Assessment</t>
  </si>
  <si>
    <t>Total Budgeted Meals</t>
  </si>
  <si>
    <t>% of Total Meals</t>
  </si>
  <si>
    <t>Provider Total Budgeted Home Delivered Meals</t>
  </si>
  <si>
    <t>Total Meals by Funding Source</t>
  </si>
  <si>
    <t>Cost Area</t>
  </si>
  <si>
    <t>Salaries, PR Taxes &amp; Benefits</t>
  </si>
  <si>
    <t>Contract staff, Compensation</t>
  </si>
  <si>
    <t>Conference</t>
  </si>
  <si>
    <t>Dues</t>
  </si>
  <si>
    <t>Materials</t>
  </si>
  <si>
    <t>Depreciation</t>
  </si>
  <si>
    <t>Leasing</t>
  </si>
  <si>
    <t>Maintenance</t>
  </si>
  <si>
    <t>Insurance</t>
  </si>
  <si>
    <t>Repair</t>
  </si>
  <si>
    <t>Taxes</t>
  </si>
  <si>
    <t>Storage</t>
  </si>
  <si>
    <t>Consumables</t>
  </si>
  <si>
    <t>Repairs</t>
  </si>
  <si>
    <t>Depreciation/Lease</t>
  </si>
  <si>
    <t>Other</t>
  </si>
  <si>
    <t xml:space="preserve">Total Number of Meals </t>
  </si>
  <si>
    <t>Whole Cost per Meal</t>
  </si>
  <si>
    <t>If applicable replace with title of other agency program</t>
  </si>
  <si>
    <t>Nutrition Education - AAA Clients</t>
  </si>
  <si>
    <t>Estimated Number of Nutrition Education Units AAA Clients</t>
  </si>
  <si>
    <t>Nutrition Education Budget - AAA Clients</t>
  </si>
  <si>
    <t>Total Conferences</t>
  </si>
  <si>
    <t>Total Mortgage Interest</t>
  </si>
  <si>
    <t>Depreciation/Lease (identify item, year purchased, cost)</t>
  </si>
  <si>
    <t>Repairs (Identify Item &amp; year purchased)</t>
  </si>
  <si>
    <t>Personnel</t>
  </si>
  <si>
    <t>Professional Development</t>
  </si>
  <si>
    <t>Meals/Food</t>
  </si>
  <si>
    <t>Equipment</t>
  </si>
  <si>
    <t>Occupancy/Building</t>
  </si>
  <si>
    <t>Transportation/Travel</t>
  </si>
  <si>
    <t>Administrative &amp; General</t>
  </si>
  <si>
    <t>Nutrition Education</t>
  </si>
  <si>
    <t>Approved Meal Rate (Title III &amp; Title XX)</t>
  </si>
  <si>
    <t>Approved Meal Rate (Title XIX)</t>
  </si>
  <si>
    <t xml:space="preserve">By signing below, the provider acknowledges that all related records are subject to audit in accordance with contract </t>
  </si>
  <si>
    <t>requirements and all applicable federal and state laws.</t>
  </si>
  <si>
    <t>Hot Prepared Meals Purchased from a Supplier or Central Kitchen</t>
  </si>
  <si>
    <t>Purchased Meals</t>
  </si>
  <si>
    <t>Total Purchased Meals</t>
  </si>
  <si>
    <t>Total Other Meal/Food</t>
  </si>
  <si>
    <t>Home Delivered Meals</t>
  </si>
  <si>
    <t>Congregate Meals</t>
  </si>
  <si>
    <t>Percentage of the Total Cost Area Budgeted to:</t>
  </si>
  <si>
    <t>Agency Budget not Applicable to Programs</t>
  </si>
  <si>
    <t xml:space="preserve">Approved Budget </t>
  </si>
  <si>
    <t>Variance
Budget
minus
Expenses</t>
  </si>
  <si>
    <t>Percentage of Variance</t>
  </si>
  <si>
    <t>Percentage of Unit Cost</t>
  </si>
  <si>
    <t xml:space="preserve">Proposed Budget </t>
  </si>
  <si>
    <t>Review of Most Recent Completed Year Approved Budget to Actual Year End Expense and Current Proposed Budget</t>
  </si>
  <si>
    <t xml:space="preserve"> Expense per General Ledger</t>
  </si>
  <si>
    <t xml:space="preserve"> Proposed Budget</t>
  </si>
  <si>
    <t>Explanation of Variances</t>
  </si>
  <si>
    <t>Percentage Variance - Prior Year Actual to Proposed Budget</t>
  </si>
  <si>
    <t>Transportation</t>
  </si>
  <si>
    <t>Provider Total Budgeted Congregate Meals</t>
  </si>
  <si>
    <t>Total Revenue</t>
  </si>
  <si>
    <t>Other Sources 6</t>
  </si>
  <si>
    <t>Other Sources 5</t>
  </si>
  <si>
    <t>contract requirements and all applicable federal and state laws.</t>
  </si>
  <si>
    <t>By signing below, the provider acknowledges that all related records are subject to audit in accordance with</t>
  </si>
  <si>
    <t>Total Units by Funding Source</t>
  </si>
  <si>
    <t>Other Sources 8</t>
  </si>
  <si>
    <t>Other Sources 7</t>
  </si>
  <si>
    <t>Local Funds - Required Match 25%</t>
  </si>
  <si>
    <t>Local Funds - Required Match 10%</t>
  </si>
  <si>
    <t>Other Funds - Non-Eligible Trips</t>
  </si>
  <si>
    <t>Local Funds - Eligible Trips</t>
  </si>
  <si>
    <t xml:space="preserve">Program Income </t>
  </si>
  <si>
    <t>Proposed Units</t>
  </si>
  <si>
    <t>Budgeted Cost per Unit</t>
  </si>
  <si>
    <t>2. TDoA units</t>
  </si>
  <si>
    <t>AAA Initial</t>
  </si>
  <si>
    <t>Contractor Initial</t>
  </si>
  <si>
    <t>Contract Reimbursed at Full Cost Per Unit Rate. Match Requirements Will Be Met Through Provision of Additional Units</t>
  </si>
  <si>
    <t xml:space="preserve">**If any portion of the required match is in-kind, you must complete an In-Kind Match Certification form. </t>
  </si>
  <si>
    <t>5.</t>
  </si>
  <si>
    <t>5.Full Unit Rate Less Required Match (Line 3 minus Line 4)</t>
  </si>
  <si>
    <t>4.</t>
  </si>
  <si>
    <t xml:space="preserve">    Required Match</t>
  </si>
  <si>
    <t>**  If Applicable, Match Reduction  From the In-kind Match  Certification form</t>
  </si>
  <si>
    <t>4. Mandatory Local Match of</t>
  </si>
  <si>
    <t>Reimbursement Calculation for Contracts Requiring Unit Rate Match Reduction</t>
  </si>
  <si>
    <t>3. Cost per unit (Line 1 divided by Line 2) - Full Unit Rate</t>
  </si>
  <si>
    <t xml:space="preserve">2.Total Number of Anticipated Units to be Provided </t>
  </si>
  <si>
    <t xml:space="preserve">1.Total Budgeted Expenses for Contract Year </t>
  </si>
  <si>
    <t>BUDGET WORKSHEET CALCULATION OF THE UNIT RATE</t>
  </si>
  <si>
    <t>Total One Way Trips by Funding Source</t>
  </si>
  <si>
    <t>Proposed One Way Trips</t>
  </si>
  <si>
    <t>Approved One Way Trip Unit Rate</t>
  </si>
  <si>
    <t>Whole Cost per Trip</t>
  </si>
  <si>
    <t>Total Number One Way Trips</t>
  </si>
  <si>
    <t>Yes</t>
  </si>
  <si>
    <t>No</t>
  </si>
  <si>
    <t>Section 1</t>
  </si>
  <si>
    <t>Other Programs</t>
  </si>
  <si>
    <t>Example of how to use this information:</t>
  </si>
  <si>
    <t>Section 2</t>
  </si>
  <si>
    <t>Combined Inflation Factor</t>
  </si>
  <si>
    <t>Congregate Meal Budget Worksheet</t>
  </si>
  <si>
    <t>2.  Total Number of Anticipated Meals to be Provided  by Funding Source</t>
  </si>
  <si>
    <t>Other Funds - 
Non-Eligible Meals</t>
  </si>
  <si>
    <t>HDM</t>
  </si>
  <si>
    <t>CM</t>
  </si>
  <si>
    <t xml:space="preserve">Local Funds </t>
  </si>
  <si>
    <t xml:space="preserve">Other Funds </t>
  </si>
  <si>
    <t>Budgeted  Units</t>
  </si>
  <si>
    <t>Approved Meal Rate Title III</t>
  </si>
  <si>
    <t>Subtotal</t>
  </si>
  <si>
    <t>Total Budgeted Cost</t>
  </si>
  <si>
    <t>Percentage of Total Budgeted Meal Cost</t>
  </si>
  <si>
    <t>Percentage of Total Budgeted Meals</t>
  </si>
  <si>
    <t>Total Cost</t>
  </si>
  <si>
    <t>Percentage of Total Cost</t>
  </si>
  <si>
    <t>Cost per unit</t>
  </si>
  <si>
    <t>Whole Unit Rate (Full Cost per Meal)</t>
  </si>
  <si>
    <t xml:space="preserve">Compare the percentage of total personnel budgeted to the meal programs and other programs. Based on the percentages of total cost does the percentages appear reasonable and equitably distributed between programs? If the percentages are not easily identified as equitable a further review of the salaries may be necessary. There are many reasons for variances in percentage for example the agency may use volunteers for some of the programs this may cause  the overall percentages appear out of line.
REMEMBER: There are no right or wrong percentages. The reviewer through analysis of the budget and discussions with the provider must determine if the allocation is acceptable. 
The reviewers notes detailing budget review, discussions with the provider, and decisions made should be included in the work file. </t>
  </si>
  <si>
    <r>
      <t xml:space="preserve">This section is used to compare the amounts budgeted/allocated to each program by cost area. 
</t>
    </r>
    <r>
      <rPr>
        <i/>
        <sz val="10"/>
        <rFont val="Arial"/>
        <family val="2"/>
      </rPr>
      <t>Example:</t>
    </r>
    <r>
      <rPr>
        <sz val="10"/>
        <rFont val="Arial"/>
        <family val="2"/>
      </rPr>
      <t xml:space="preserve"> What percent of the agencies personnel cost is budgeted/allocated to home delivered meals versus congregate meals and other agency programs? The information should be used as a review tool to gain an understanding of the agencies overall budget and operations. </t>
    </r>
  </si>
  <si>
    <r>
      <t xml:space="preserve">Review each of the cost areas based on the three different ways the information is presented. Determine if  the dollar amount is reasonable for each of the cost areas. Is the percentage of the cost allocation between congregate and home delivered comparable to the percentage of total budgeted meals for each program?  
Review examples:  
</t>
    </r>
    <r>
      <rPr>
        <sz val="10"/>
        <rFont val="Wingdings 2"/>
        <family val="1"/>
      </rPr>
      <t></t>
    </r>
    <r>
      <rPr>
        <sz val="8"/>
        <rFont val="Arial"/>
        <family val="2"/>
      </rPr>
      <t xml:space="preserve">  </t>
    </r>
    <r>
      <rPr>
        <sz val="10"/>
        <rFont val="Arial"/>
        <family val="2"/>
      </rPr>
      <t xml:space="preserve">Occupancy/Building cost is expected to be higher for congregate than home delivered because the home delivered program should only be charged a share of the cost for the kitchen and delivery preparation area for the time those areas are used to prepare and disburse meals. The congregate program would be charged a share of the cost for the kitchen area for the time those areas are used to prepare meals and include the cost associated with the area used to consume meals.
</t>
    </r>
    <r>
      <rPr>
        <sz val="10"/>
        <rFont val="Wingdings 2"/>
        <family val="1"/>
      </rPr>
      <t></t>
    </r>
    <r>
      <rPr>
        <sz val="10"/>
        <rFont val="Arial"/>
        <family val="2"/>
      </rPr>
      <t xml:space="preserve">  How are Personnel costs allocated between the two meal programs?  Is the allocation based on the percentage of meals, percentage of total cost, or actual time spent between the two programs?
</t>
    </r>
    <r>
      <rPr>
        <sz val="10"/>
        <rFont val="Wingdings 2"/>
        <family val="1"/>
      </rPr>
      <t xml:space="preserve"> </t>
    </r>
    <r>
      <rPr>
        <sz val="10"/>
        <rFont val="Arial"/>
        <family val="2"/>
      </rPr>
      <t xml:space="preserve">Review the cost per unit of raw food. Is the amount the same for both programs? If not, why are they different?
</t>
    </r>
    <r>
      <rPr>
        <sz val="10"/>
        <rFont val="Wingdings 2"/>
        <family val="1"/>
      </rPr>
      <t xml:space="preserve"> </t>
    </r>
    <r>
      <rPr>
        <sz val="10"/>
        <rFont val="Arial"/>
        <family val="2"/>
      </rPr>
      <t xml:space="preserve">Review  the total cost per unit rates,  are the rates for the programs similar? Because the program requirements are different, small variances are expected. If the variances cannot be explained by program differences, you need to explain in your review papers why they are different.
</t>
    </r>
  </si>
  <si>
    <t xml:space="preserve">Variance (Provider Total Budgeted Home Delivered Meals - Total Meals by Funding Source) </t>
  </si>
  <si>
    <t xml:space="preserve">Variance (Provider Total Budgeted Congregate Meals - 
Total Meals by Funding Source) </t>
  </si>
  <si>
    <t>Most Recent Completed Budget Year</t>
  </si>
  <si>
    <t>Meal Delivery Consumable Supplies</t>
  </si>
  <si>
    <t xml:space="preserve">DADS  - Title XIX </t>
  </si>
  <si>
    <t>Title XIX</t>
  </si>
  <si>
    <t xml:space="preserve">Local Funds - Cap Limit Exceeded Title XIX </t>
  </si>
  <si>
    <t xml:space="preserve">9.   Excess of Cap Rate Reduction </t>
  </si>
  <si>
    <t>Street Address:</t>
  </si>
  <si>
    <t>Mailing Address:</t>
  </si>
  <si>
    <t>Zip Code:</t>
  </si>
  <si>
    <t>City:</t>
  </si>
  <si>
    <t>Phone Number:</t>
  </si>
  <si>
    <t>If Yes, select the AAA Name:</t>
  </si>
  <si>
    <t>Area Agency on Aging of the Alamo Area</t>
  </si>
  <si>
    <t>Area Agency on Aging of Ark-Tex</t>
  </si>
  <si>
    <t>Area Agency on Aging of Bexar County</t>
  </si>
  <si>
    <t>Area Agency on Aging of Brazos Valley</t>
  </si>
  <si>
    <t>Area Agency on Aging of the Capital Area</t>
  </si>
  <si>
    <t>Area Agency on Aging of Central Texas</t>
  </si>
  <si>
    <t>Area Agency on Aging of the Coastal Bend</t>
  </si>
  <si>
    <t>Area Agency on Aging of Concho Valley</t>
  </si>
  <si>
    <t>Area Agency on Aging of Dallas County</t>
  </si>
  <si>
    <t>Area Agency on Aging of Deep East Texas</t>
  </si>
  <si>
    <t>Area Agency on Aging of East Texas</t>
  </si>
  <si>
    <t>Area Agency on Aging of the Golden Crescent Region</t>
  </si>
  <si>
    <t>Area Agency on Aging of Harris County</t>
  </si>
  <si>
    <t>Area Agency on Aging of the Heart of Texas</t>
  </si>
  <si>
    <t>Area Agency on Aging of Houston-Galveston</t>
  </si>
  <si>
    <t>Area Agency on Aging of the Lower Rio Grande Valley</t>
  </si>
  <si>
    <t>Area Agency on Aging of the Middle Rio Grande Area</t>
  </si>
  <si>
    <t>Area Agency on Aging of North Central Texas</t>
  </si>
  <si>
    <t>Area Agency on Aging of North Texas</t>
  </si>
  <si>
    <t>Agency on Aging of the Panhandle Area</t>
  </si>
  <si>
    <t>Area Agency on Aging of the Permian Basin</t>
  </si>
  <si>
    <t>Agency on Aging of the Rio Grande Area</t>
  </si>
  <si>
    <t>Area Agency on Aging of Southeast Texas</t>
  </si>
  <si>
    <t>Area Agency on Aging of South Plains</t>
  </si>
  <si>
    <t>Area Agency on Aging of South Texas</t>
  </si>
  <si>
    <t>Area Agency on Aging of Tarrant County</t>
  </si>
  <si>
    <t>Area Agency on Aging of Texoma</t>
  </si>
  <si>
    <t>Area Agency on Aging of West Central Texas</t>
  </si>
  <si>
    <t>Contract</t>
  </si>
  <si>
    <t>Region 3</t>
  </si>
  <si>
    <t>Region 4</t>
  </si>
  <si>
    <t>Region 5</t>
  </si>
  <si>
    <t>Region 6</t>
  </si>
  <si>
    <t>Region 7</t>
  </si>
  <si>
    <t>Region 8</t>
  </si>
  <si>
    <t>Service Delivery Information</t>
  </si>
  <si>
    <t xml:space="preserve">Uniform Rate Negotiation Workbook/Budget </t>
  </si>
  <si>
    <t>Federal Contract Period:</t>
  </si>
  <si>
    <t>E-mail Address:</t>
  </si>
  <si>
    <t>Contact Name:</t>
  </si>
  <si>
    <t>If Yes, contact name at AAA:</t>
  </si>
  <si>
    <t>Budgeted Meals</t>
  </si>
  <si>
    <t>Whole Unit Rate</t>
  </si>
  <si>
    <t xml:space="preserve">Frozen Meals </t>
  </si>
  <si>
    <t>Chilled Meals</t>
  </si>
  <si>
    <t xml:space="preserve">Hot Meals </t>
  </si>
  <si>
    <t>Provider Prepared Meals</t>
  </si>
  <si>
    <t>Shelf Stable Meals</t>
  </si>
  <si>
    <t>Total Provider Prepared Meals</t>
  </si>
  <si>
    <t>AAA Name:</t>
  </si>
  <si>
    <t>Region Number:</t>
  </si>
  <si>
    <t>Region 2/9</t>
  </si>
  <si>
    <t>Region 1/10</t>
  </si>
  <si>
    <t>Region 11</t>
  </si>
  <si>
    <t>Nutrition Providers Legal Business Name:</t>
  </si>
  <si>
    <t>Total number of home delivered meal routes for this provider:</t>
  </si>
  <si>
    <t>Total number of meal preparation sites used by this provider:</t>
  </si>
  <si>
    <t>Total number of meal sites used by this provider:</t>
  </si>
  <si>
    <t>Did this Nutrition provider complete a rate setting workbook last year?</t>
  </si>
  <si>
    <t>Is the Provider a AAA Provider?</t>
  </si>
  <si>
    <t>Does this Nutrition provider  serve congregate meals paid for by the AAA?</t>
  </si>
  <si>
    <t>Total Number Units</t>
  </si>
  <si>
    <t>Whole Cost per Unit</t>
  </si>
  <si>
    <t>Approved Unit Rate</t>
  </si>
  <si>
    <t xml:space="preserve">Percentage of Total Cost  </t>
  </si>
  <si>
    <t>DADS  - Title XIX (CBA)</t>
  </si>
  <si>
    <t>Other Funds Eligible Meals</t>
  </si>
  <si>
    <t>3.  Whole Unit Rate (Line 1 divided by Line 2)</t>
  </si>
  <si>
    <t xml:space="preserve">      Required Cash Match</t>
  </si>
  <si>
    <t xml:space="preserve">Accepted Unit Rate for Current Year </t>
  </si>
  <si>
    <t>3.   Whole Unit Rate  (Line 1 divided by Line 2)</t>
  </si>
  <si>
    <t>Nutrition Providers website address:</t>
  </si>
  <si>
    <t>Other Funds - Eligible Meals</t>
  </si>
  <si>
    <t>101ƒ</t>
  </si>
  <si>
    <t>Submission #</t>
  </si>
  <si>
    <t>Texas Health and Human Services</t>
  </si>
  <si>
    <t>1. An explanation of variance must be provided for each cost area where the expenses per General Ledger varies from the approved budget for the most recent completed year  by 10% or more; and
 2. An explanation of variance must be provided for each cost area where the proposed budget amount exceeds the prior year actual amount by more than the two year combined inflation factor.</t>
  </si>
  <si>
    <r>
      <rPr>
        <sz val="11"/>
        <rFont val="Arial"/>
        <family val="2"/>
      </rPr>
      <t>1. An explanation of varianc</t>
    </r>
    <r>
      <rPr>
        <sz val="10"/>
        <rFont val="Arial"/>
        <family val="2"/>
      </rPr>
      <t>e must be provided for each cost area where the expenses per General Ledger varies from the approved budget for the most recent completed year  by 10% or more; and
 2. An explanation of variance must be provided for each cost area where the proposed budget amount exceeds the prior year actual amount by more than the two year combined inflation factor.</t>
    </r>
  </si>
  <si>
    <t>1. An explanation of variance must be provided for each cost area where the expenses per General Ledger varies from the approved budget for the most recent completed year  by 10% or more; and 
 2. An explanation of variance must be provided for each cost area where the proposed budget amount exceeds the prior year actual amount by more than the two year combined inflation factor.</t>
  </si>
  <si>
    <t>Is the Provider a HHS Contracted Community Services Provider?</t>
  </si>
  <si>
    <t>If Yes, Contract Manager name at HHS Contracted Community Services:</t>
  </si>
  <si>
    <t>If Yes, select the HHS Region Number:</t>
  </si>
  <si>
    <t>If Yes, enter the HHS contract number:</t>
  </si>
  <si>
    <t>Does this Nutrition provider serve home delivered meals paid for by HHS or the AAA?</t>
  </si>
  <si>
    <t>Nutrition Education CCS Clients</t>
  </si>
  <si>
    <t>HHS  - Title XX</t>
  </si>
  <si>
    <t>Health and Human Services</t>
  </si>
  <si>
    <t>HHS Title XIX Proposed Meals *Calculated Rate</t>
  </si>
  <si>
    <t xml:space="preserve">exclude Nutrition Education costs from the meal rate.
</t>
  </si>
  <si>
    <r>
      <t>If the cost of Nutrition Education is to be provided as a separate service, enter an</t>
    </r>
    <r>
      <rPr>
        <b/>
        <sz val="10"/>
        <color indexed="10"/>
        <rFont val="Arial"/>
        <family val="2"/>
      </rPr>
      <t xml:space="preserve"> N</t>
    </r>
    <r>
      <rPr>
        <b/>
        <sz val="10"/>
        <rFont val="Arial"/>
        <family val="2"/>
      </rPr>
      <t>. This will</t>
    </r>
  </si>
  <si>
    <t>HHS - OAAA</t>
  </si>
  <si>
    <t>Local Funds - Cap Limit Exceeded HHS OAAA &amp; Title XX</t>
  </si>
  <si>
    <t>HHS OAAA Proposed Meals +Title XX Proposed Meals *Calculated Rate</t>
  </si>
  <si>
    <t>HHS OAAA &amp; Title XX</t>
  </si>
  <si>
    <t>HHS OAAA</t>
  </si>
  <si>
    <t xml:space="preserve">8.  Rate Cap Applicable to Title XIX, Title XX 
     and HHS OAAA Common Providers </t>
  </si>
  <si>
    <t>HHS OAAA - Match Required</t>
  </si>
  <si>
    <t>HHS OAAA - 10 % Match Required</t>
  </si>
  <si>
    <t>HHS OAAA - 25 % Match Required</t>
  </si>
  <si>
    <t xml:space="preserve">HHS OAAA - Full Unit Rate </t>
  </si>
  <si>
    <t>Other Meal Programs
(non-HHS/AES)</t>
  </si>
  <si>
    <t>If Yes, is it a contract or subrecipient?</t>
  </si>
  <si>
    <t>AAA Contractors/Subrecipients may choose to provide required Nutrition Education as a separate service and exclude costs related to Nutrition Education from the meal rate.</t>
  </si>
  <si>
    <t>Subrecipient</t>
  </si>
  <si>
    <t>If Yes, what was the provider name listed on the workbook?</t>
  </si>
  <si>
    <t>Type of Provider:</t>
  </si>
  <si>
    <t>Provider Service Area</t>
  </si>
  <si>
    <t>Congregate Meals Service Area:</t>
  </si>
  <si>
    <r>
      <t xml:space="preserve">Please specify the provider's service area by geographical location (county, city, zip code, etc.) If the provider serves an entire county, record the name of the county. City, zip code, and other designations can be used when the provider agency is not serving an entire county. 
</t>
    </r>
    <r>
      <rPr>
        <b/>
        <i/>
        <sz val="10"/>
        <rFont val="Arial"/>
        <family val="2"/>
      </rPr>
      <t>Examples</t>
    </r>
    <r>
      <rPr>
        <sz val="10"/>
        <rFont val="Arial"/>
        <family val="2"/>
      </rPr>
      <t xml:space="preserve">: 1) City of El Paso; 2) Harris County; 3) Two mile radius of the city limits of Rockdale and Cameron; 4) City of Cedar Park, Leander Zip Codes 78745 and 78746. </t>
    </r>
  </si>
  <si>
    <t>For any item identified below, the provider must maintain monthly supporting documentation.</t>
  </si>
  <si>
    <t xml:space="preserve">Home-Delivered Meals - CSS Service Area: </t>
  </si>
  <si>
    <t xml:space="preserve">Home Delivered Meals - AAA Service Area: </t>
  </si>
  <si>
    <t xml:space="preserve">This section is used to identify the nutrition provider's service area for FFY 2020. This will assist HHS in defining unserved areas of the state. 
</t>
  </si>
  <si>
    <t>Inflation Factor 2019 to 2020</t>
  </si>
  <si>
    <r>
      <t xml:space="preserve">This section is a summary of information to use to analyze the cost and how they are allocated between Congregate and Home Delivered Meals. The information is presented in three different ways:
</t>
    </r>
    <r>
      <rPr>
        <sz val="10"/>
        <rFont val="Wingdings 2"/>
        <family val="1"/>
      </rPr>
      <t></t>
    </r>
    <r>
      <rPr>
        <sz val="10"/>
        <rFont val="Arial"/>
        <family val="2"/>
      </rPr>
      <t xml:space="preserve"> Total Cost: Amount budgeted by cost area
</t>
    </r>
    <r>
      <rPr>
        <sz val="10"/>
        <rFont val="Wingdings 2"/>
        <family val="1"/>
      </rPr>
      <t></t>
    </r>
    <r>
      <rPr>
        <sz val="10"/>
        <rFont val="Arial"/>
        <family val="2"/>
      </rPr>
      <t xml:space="preserve"> Percentage of total cost: Percentage of the total of cost area for the two meal programs applied to each program
</t>
    </r>
    <r>
      <rPr>
        <sz val="10"/>
        <rFont val="Wingdings 2"/>
        <family val="1"/>
      </rPr>
      <t></t>
    </r>
    <r>
      <rPr>
        <sz val="10"/>
        <rFont val="Arial"/>
        <family val="2"/>
      </rPr>
      <t xml:space="preserve"> Cost per unit: How much of the unit cost is used to pay for each cost area. $X.XX of the cost of each meal is for XX cost area.
Below the cost area summary information is additional information showing:
</t>
    </r>
    <r>
      <rPr>
        <sz val="10"/>
        <rFont val="Wingdings 2"/>
        <family val="1"/>
      </rPr>
      <t></t>
    </r>
    <r>
      <rPr>
        <sz val="10"/>
        <rFont val="Arial"/>
        <family val="2"/>
      </rPr>
      <t xml:space="preserve"> Percentage of the total budgeted meal cost applied to the home delivered and congregate meal programs</t>
    </r>
    <r>
      <rPr>
        <sz val="8"/>
        <rFont val="Arial"/>
        <family val="2"/>
      </rPr>
      <t xml:space="preserve">
</t>
    </r>
    <r>
      <rPr>
        <sz val="10"/>
        <rFont val="Wingdings 2"/>
        <family val="1"/>
      </rPr>
      <t></t>
    </r>
    <r>
      <rPr>
        <sz val="10"/>
        <rFont val="Arial"/>
        <family val="2"/>
      </rPr>
      <t xml:space="preserve"> Percentage of the total budgeted meals (home delivered &amp; congregate) applied to the home delivered and congregate programs.
</t>
    </r>
    <r>
      <rPr>
        <sz val="10"/>
        <rFont val="Wingdings 2"/>
        <family val="1"/>
      </rPr>
      <t></t>
    </r>
    <r>
      <rPr>
        <sz val="8"/>
        <rFont val="Arial"/>
        <family val="2"/>
      </rPr>
      <t xml:space="preserve"> </t>
    </r>
    <r>
      <rPr>
        <sz val="10"/>
        <rFont val="Arial"/>
        <family val="2"/>
      </rPr>
      <t xml:space="preserve">Whole Unit rate for each meal program
</t>
    </r>
    <r>
      <rPr>
        <sz val="10"/>
        <rFont val="Wingdings 2"/>
        <family val="1"/>
      </rPr>
      <t></t>
    </r>
    <r>
      <rPr>
        <sz val="8"/>
        <rFont val="Arial"/>
        <family val="2"/>
      </rPr>
      <t xml:space="preserve"> </t>
    </r>
    <r>
      <rPr>
        <sz val="10"/>
        <rFont val="Arial"/>
        <family val="2"/>
      </rPr>
      <t>Calculated meal rate based on information entered on the home delivered and congregate meal budget worksheets.</t>
    </r>
  </si>
  <si>
    <t>10-01-20/ 09-30-21</t>
  </si>
  <si>
    <t>Inflation Factor 2020 to 2021</t>
  </si>
  <si>
    <t>Does this Nutrition provider have an approved Home Delivered Nutrition Waiver for 2020?</t>
  </si>
  <si>
    <t>Is this Nutrition provider requesting a Home Delivered Nutrition Waiver for 2021?</t>
  </si>
  <si>
    <t>Does this Nutrition provider have an approved Congregate Nutrition Waiver for 2020?</t>
  </si>
  <si>
    <t>Is this Nutrition provider requesting a Congregate Waiver for 2021?</t>
  </si>
  <si>
    <t>Tyson Silas</t>
  </si>
  <si>
    <t>Social Reassurance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</si>
</sst>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409]mmmm\ d\,\ yyyy;@"/>
    <numFmt numFmtId="168" formatCode="0.000%"/>
    <numFmt numFmtId="169" formatCode="0_);[Red]\(0\)"/>
    <numFmt numFmtId="170" formatCode="0.00_);[Red]\(0.00\)"/>
    <numFmt numFmtId="171" formatCode="m/d/yyyy\ h:mm\ AM/PM"/>
    <numFmt numFmtId="172" formatCode="[$-409]m/d/yy\ h:mm\ AM/PM;@"/>
  </numFmts>
  <fonts count="127">
    <font>
      <sz val="10"/>
      <name val="Arial"/>
      <family val="0"/>
    </font>
    <font>
      <sz val="11"/>
      <color indexed="8"/>
      <name val="Calibri"/>
      <family val="2"/>
    </font>
    <font>
      <b/>
      <sz val="10"/>
      <name val="Arial"/>
      <family val="2"/>
    </font>
    <font>
      <b/>
      <sz val="12"/>
      <name val="Arial"/>
      <family val="2"/>
    </font>
    <font>
      <sz val="14"/>
      <name val="Arial"/>
      <family val="2"/>
    </font>
    <font>
      <b/>
      <sz val="11"/>
      <name val="Arial"/>
      <family val="2"/>
    </font>
    <font>
      <u val="single"/>
      <sz val="10"/>
      <color indexed="12"/>
      <name val="Arial"/>
      <family val="2"/>
    </font>
    <font>
      <b/>
      <sz val="10"/>
      <color indexed="10"/>
      <name val="Arial"/>
      <family val="2"/>
    </font>
    <font>
      <sz val="11"/>
      <name val="Times New Roman"/>
      <family val="1"/>
    </font>
    <font>
      <b/>
      <sz val="11"/>
      <name val="Times New Roman"/>
      <family val="1"/>
    </font>
    <font>
      <u val="single"/>
      <sz val="11"/>
      <color indexed="12"/>
      <name val="Times New Roman"/>
      <family val="1"/>
    </font>
    <font>
      <sz val="10"/>
      <color indexed="12"/>
      <name val="Arial"/>
      <family val="2"/>
    </font>
    <font>
      <b/>
      <sz val="14"/>
      <name val="Times New Roman"/>
      <family val="1"/>
    </font>
    <font>
      <b/>
      <sz val="12"/>
      <name val="Times New Roman"/>
      <family val="1"/>
    </font>
    <font>
      <sz val="13"/>
      <name val="Symbol"/>
      <family val="1"/>
    </font>
    <font>
      <b/>
      <sz val="13"/>
      <name val="Times New Roman"/>
      <family val="1"/>
    </font>
    <font>
      <b/>
      <sz val="8"/>
      <name val="Times New Roman"/>
      <family val="1"/>
    </font>
    <font>
      <b/>
      <sz val="9"/>
      <name val="Times New Roman"/>
      <family val="1"/>
    </font>
    <font>
      <b/>
      <sz val="14"/>
      <name val="Arial"/>
      <family val="2"/>
    </font>
    <font>
      <u val="single"/>
      <sz val="11"/>
      <color indexed="48"/>
      <name val="Times New Roman"/>
      <family val="1"/>
    </font>
    <font>
      <i/>
      <sz val="10"/>
      <name val="Arial"/>
      <family val="2"/>
    </font>
    <font>
      <sz val="10"/>
      <color indexed="17"/>
      <name val="Arial"/>
      <family val="2"/>
    </font>
    <font>
      <sz val="11"/>
      <name val="Arial"/>
      <family val="2"/>
    </font>
    <font>
      <b/>
      <i/>
      <sz val="10"/>
      <name val="Arial"/>
      <family val="2"/>
    </font>
    <font>
      <sz val="10"/>
      <name val="Wingdings 2"/>
      <family val="1"/>
    </font>
    <font>
      <sz val="8"/>
      <name val="Arial"/>
      <family val="2"/>
    </font>
    <font>
      <sz val="10"/>
      <color indexed="8"/>
      <name val="Arial"/>
      <family val="2"/>
    </font>
    <font>
      <sz val="12"/>
      <name val="Arial"/>
      <family val="2"/>
    </font>
    <font>
      <sz val="10"/>
      <color indexed="30"/>
      <name val="Arial"/>
      <family val="2"/>
    </font>
    <font>
      <b/>
      <sz val="11"/>
      <color indexed="36"/>
      <name val="Times New Roman"/>
      <family val="1"/>
    </font>
    <font>
      <b/>
      <sz val="11"/>
      <color indexed="17"/>
      <name val="Times New Roman"/>
      <family val="1"/>
    </font>
    <font>
      <b/>
      <sz val="10"/>
      <color indexed="17"/>
      <name val="Arial"/>
      <family val="2"/>
    </font>
    <font>
      <sz val="10"/>
      <color indexed="36"/>
      <name val="Arial"/>
      <family val="2"/>
    </font>
    <font>
      <sz val="10"/>
      <color indexed="9"/>
      <name val="Arial"/>
      <family val="2"/>
    </font>
    <font>
      <sz val="10"/>
      <color indexed="63"/>
      <name val="Arial"/>
      <family val="2"/>
    </font>
    <font>
      <sz val="10"/>
      <color indexed="10"/>
      <name val="Arial"/>
      <family val="2"/>
    </font>
    <font>
      <b/>
      <sz val="10"/>
      <color indexed="12"/>
      <name val="Arial"/>
      <family val="2"/>
    </font>
    <font>
      <sz val="10"/>
      <color indexed="60"/>
      <name val="Arial"/>
      <family val="2"/>
    </font>
    <font>
      <b/>
      <sz val="14"/>
      <color indexed="17"/>
      <name val="Arial"/>
      <family val="2"/>
    </font>
    <font>
      <b/>
      <sz val="12"/>
      <color indexed="60"/>
      <name val="Arial"/>
      <family val="2"/>
    </font>
    <font>
      <b/>
      <sz val="14"/>
      <color indexed="36"/>
      <name val="Times Roman Bold"/>
      <family val="1"/>
    </font>
    <font>
      <b/>
      <sz val="14"/>
      <color indexed="36"/>
      <name val="Times New Roman"/>
      <family val="1"/>
    </font>
    <font>
      <b/>
      <sz val="12"/>
      <color indexed="36"/>
      <name val="Arial"/>
      <family val="2"/>
    </font>
    <font>
      <sz val="11"/>
      <color indexed="12"/>
      <name val="Times New Roman"/>
      <family val="1"/>
    </font>
    <font>
      <u val="single"/>
      <sz val="10"/>
      <color indexed="20"/>
      <name val="Arial"/>
      <family val="0"/>
    </font>
    <font>
      <b/>
      <sz val="12"/>
      <color indexed="17"/>
      <name val="Arial"/>
      <family val="2"/>
    </font>
    <font>
      <b/>
      <sz val="14"/>
      <color indexed="17"/>
      <name val="Times Roman Bold"/>
      <family val="1"/>
    </font>
    <font>
      <b/>
      <sz val="14"/>
      <color indexed="17"/>
      <name val="Times New Roman"/>
      <family val="1"/>
    </font>
    <font>
      <b/>
      <sz val="12"/>
      <color indexed="10"/>
      <name val="Arial"/>
      <family val="2"/>
    </font>
    <font>
      <b/>
      <sz val="14"/>
      <color indexed="10"/>
      <name val="Times Roman Bold"/>
      <family val="1"/>
    </font>
    <font>
      <b/>
      <sz val="14"/>
      <color indexed="10"/>
      <name val="Times New Roman"/>
      <family val="1"/>
    </font>
    <font>
      <b/>
      <sz val="11"/>
      <color indexed="10"/>
      <name val="Times New Roman"/>
      <family val="1"/>
    </font>
    <font>
      <b/>
      <sz val="11"/>
      <color indexed="12"/>
      <name val="Times New Roman"/>
      <family val="1"/>
    </font>
    <font>
      <b/>
      <sz val="12"/>
      <color indexed="48"/>
      <name val="Arial"/>
      <family val="2"/>
    </font>
    <font>
      <b/>
      <sz val="14"/>
      <color indexed="48"/>
      <name val="Times Roman Bold"/>
      <family val="1"/>
    </font>
    <font>
      <b/>
      <sz val="14"/>
      <color indexed="48"/>
      <name val="Times New Roman"/>
      <family val="1"/>
    </font>
    <font>
      <b/>
      <sz val="11"/>
      <color indexed="4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70C0"/>
      <name val="Arial"/>
      <family val="2"/>
    </font>
    <font>
      <b/>
      <sz val="11"/>
      <color rgb="FF7030A0"/>
      <name val="Times New Roman"/>
      <family val="1"/>
    </font>
    <font>
      <b/>
      <sz val="11"/>
      <color rgb="FF00B050"/>
      <name val="Times New Roman"/>
      <family val="1"/>
    </font>
    <font>
      <sz val="10"/>
      <color rgb="FF00B050"/>
      <name val="Arial"/>
      <family val="2"/>
    </font>
    <font>
      <b/>
      <sz val="10"/>
      <color rgb="FF00B050"/>
      <name val="Arial"/>
      <family val="2"/>
    </font>
    <font>
      <sz val="10"/>
      <color rgb="FF7030A0"/>
      <name val="Arial"/>
      <family val="2"/>
    </font>
    <font>
      <sz val="10"/>
      <color theme="0"/>
      <name val="Arial"/>
      <family val="2"/>
    </font>
    <font>
      <sz val="10"/>
      <color rgb="FF0000FF"/>
      <name val="Arial"/>
      <family val="2"/>
    </font>
    <font>
      <b/>
      <sz val="10"/>
      <color rgb="FFFF0000"/>
      <name val="Arial"/>
      <family val="2"/>
    </font>
    <font>
      <sz val="10"/>
      <color rgb="FF454545"/>
      <name val="Arial"/>
      <family val="2"/>
    </font>
    <font>
      <b/>
      <sz val="10"/>
      <color rgb="FF008000"/>
      <name val="Arial"/>
      <family val="2"/>
    </font>
    <font>
      <b/>
      <sz val="10"/>
      <color theme="6" tint="-0.4999699890613556"/>
      <name val="Arial"/>
      <family val="2"/>
    </font>
    <font>
      <sz val="10"/>
      <color rgb="FF008000"/>
      <name val="Arial"/>
      <family val="2"/>
    </font>
    <font>
      <sz val="10"/>
      <color theme="6" tint="-0.4999699890613556"/>
      <name val="Arial"/>
      <family val="2"/>
    </font>
    <font>
      <sz val="10"/>
      <color rgb="FFFF0000"/>
      <name val="Arial"/>
      <family val="2"/>
    </font>
    <font>
      <b/>
      <sz val="10"/>
      <color rgb="FF0000FF"/>
      <name val="Arial"/>
      <family val="2"/>
    </font>
    <font>
      <sz val="10"/>
      <color rgb="FFC00000"/>
      <name val="Arial"/>
      <family val="2"/>
    </font>
    <font>
      <b/>
      <sz val="14"/>
      <color rgb="FF008000"/>
      <name val="Arial"/>
      <family val="2"/>
    </font>
    <font>
      <b/>
      <sz val="12"/>
      <color rgb="FFC00000"/>
      <name val="Arial"/>
      <family val="2"/>
    </font>
    <font>
      <b/>
      <sz val="14"/>
      <color rgb="FF7030A0"/>
      <name val="Times Roman Bold"/>
      <family val="1"/>
    </font>
    <font>
      <b/>
      <sz val="14"/>
      <color rgb="FF7030A0"/>
      <name val="Times New Roman"/>
      <family val="1"/>
    </font>
    <font>
      <b/>
      <sz val="12"/>
      <color rgb="FF7030A0"/>
      <name val="Arial"/>
      <family val="2"/>
    </font>
    <font>
      <sz val="11"/>
      <color rgb="FF0000FF"/>
      <name val="Times New Roman"/>
      <family val="1"/>
    </font>
    <font>
      <b/>
      <sz val="12"/>
      <color rgb="FF00B050"/>
      <name val="Arial"/>
      <family val="2"/>
    </font>
    <font>
      <b/>
      <sz val="14"/>
      <color rgb="FF00B050"/>
      <name val="Times Roman Bold"/>
      <family val="1"/>
    </font>
    <font>
      <b/>
      <sz val="14"/>
      <color rgb="FF00B050"/>
      <name val="Times New Roman"/>
      <family val="1"/>
    </font>
    <font>
      <b/>
      <sz val="12"/>
      <color rgb="FFFF3300"/>
      <name val="Arial"/>
      <family val="2"/>
    </font>
    <font>
      <b/>
      <sz val="14"/>
      <color rgb="FFFF3300"/>
      <name val="Times Roman Bold"/>
      <family val="1"/>
    </font>
    <font>
      <b/>
      <sz val="14"/>
      <color rgb="FFFF3300"/>
      <name val="Times New Roman"/>
      <family val="1"/>
    </font>
    <font>
      <b/>
      <sz val="11"/>
      <color rgb="FF0000FF"/>
      <name val="Times New Roman"/>
      <family val="1"/>
    </font>
    <font>
      <b/>
      <sz val="11"/>
      <color rgb="FFFF3300"/>
      <name val="Times New Roman"/>
      <family val="1"/>
    </font>
    <font>
      <b/>
      <sz val="12"/>
      <color rgb="FF3366FF"/>
      <name val="Arial"/>
      <family val="2"/>
    </font>
    <font>
      <b/>
      <sz val="14"/>
      <color rgb="FF3366FF"/>
      <name val="Times Roman Bold"/>
      <family val="1"/>
    </font>
    <font>
      <b/>
      <sz val="14"/>
      <color rgb="FF3366FF"/>
      <name val="Times New Roman"/>
      <family val="1"/>
    </font>
    <font>
      <b/>
      <sz val="11"/>
      <color rgb="FF3366FF"/>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A162D0"/>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indexed="22"/>
        <bgColor indexed="64"/>
      </patternFill>
    </fill>
    <fill>
      <patternFill patternType="solid">
        <fgColor theme="0" tint="-0.1499900072813034"/>
        <bgColor indexed="64"/>
      </patternFill>
    </fill>
    <fill>
      <patternFill patternType="solid">
        <fgColor theme="1"/>
        <bgColor indexed="64"/>
      </patternFill>
    </fill>
    <fill>
      <patternFill patternType="solid">
        <fgColor indexed="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style="thin">
        <color indexed="8"/>
      </right>
      <top style="double">
        <color indexed="8"/>
      </top>
      <bottom/>
    </border>
    <border>
      <left/>
      <right style="double">
        <color indexed="8"/>
      </right>
      <top style="double">
        <color indexed="8"/>
      </top>
      <bottom/>
    </border>
    <border>
      <left style="thin">
        <color indexed="8"/>
      </left>
      <right style="thin">
        <color indexed="8"/>
      </right>
      <top/>
      <bottom style="thin">
        <color indexed="8"/>
      </bottom>
    </border>
    <border>
      <left style="thin">
        <color indexed="8"/>
      </left>
      <right style="double">
        <color indexed="8"/>
      </right>
      <top/>
      <bottom style="thin">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
      <left style="thin"/>
      <right style="thin"/>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double"/>
      <top style="double"/>
      <bottom/>
    </border>
    <border>
      <left style="double"/>
      <right/>
      <top style="double"/>
      <bottom/>
    </border>
    <border>
      <left style="thin"/>
      <right/>
      <top style="thin"/>
      <bottom style="thin"/>
    </border>
    <border>
      <left/>
      <right/>
      <top style="thin"/>
      <bottom style="thin"/>
    </border>
    <border>
      <left style="thin">
        <color indexed="22"/>
      </left>
      <right style="thin">
        <color indexed="22"/>
      </right>
      <top style="thin">
        <color indexed="22"/>
      </top>
      <bottom style="thin">
        <color indexed="22"/>
      </bottom>
    </border>
    <border diagonalUp="1">
      <left style="thin"/>
      <right style="thin"/>
      <top/>
      <bottom/>
      <diagonal style="thin"/>
    </border>
    <border diagonalUp="1">
      <left style="thin"/>
      <right style="thin"/>
      <top style="thin"/>
      <bottom style="thin"/>
      <diagonal style="thin"/>
    </border>
    <border>
      <left style="double">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double">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style="double">
        <color indexed="8"/>
      </left>
      <right/>
      <top/>
      <bottom style="thin"/>
    </border>
    <border>
      <left/>
      <right style="thin">
        <color indexed="8"/>
      </right>
      <top/>
      <bottom style="thin"/>
    </border>
    <border>
      <left style="double">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6"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26"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141">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quotePrefix="1">
      <alignment horizontal="left"/>
      <protection/>
    </xf>
    <xf numFmtId="0" fontId="0" fillId="0" borderId="0" xfId="0" applyAlignment="1" applyProtection="1" quotePrefix="1">
      <alignment/>
      <protection/>
    </xf>
    <xf numFmtId="44" fontId="0" fillId="0" borderId="10" xfId="44" applyFont="1"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165" fontId="0" fillId="0" borderId="10" xfId="42" applyNumberFormat="1" applyFont="1" applyBorder="1" applyAlignment="1" applyProtection="1">
      <alignment/>
      <protection/>
    </xf>
    <xf numFmtId="0" fontId="0" fillId="0" borderId="10" xfId="0" applyBorder="1" applyAlignment="1" applyProtection="1">
      <alignment horizontal="center"/>
      <protection/>
    </xf>
    <xf numFmtId="164" fontId="0" fillId="0" borderId="10" xfId="0" applyNumberFormat="1" applyBorder="1" applyAlignment="1" applyProtection="1">
      <alignment horizontal="center"/>
      <protection/>
    </xf>
    <xf numFmtId="0" fontId="0" fillId="0" borderId="0" xfId="0" applyBorder="1" applyAlignment="1" applyProtection="1">
      <alignment horizontal="center"/>
      <protection/>
    </xf>
    <xf numFmtId="43" fontId="0" fillId="0" borderId="0" xfId="42" applyFont="1" applyAlignment="1" applyProtection="1">
      <alignment/>
      <protection/>
    </xf>
    <xf numFmtId="165" fontId="0" fillId="0" borderId="0" xfId="42" applyNumberFormat="1" applyFont="1" applyAlignment="1" applyProtection="1">
      <alignment horizontal="center"/>
      <protection/>
    </xf>
    <xf numFmtId="165" fontId="0" fillId="0" borderId="0" xfId="42" applyNumberFormat="1" applyFont="1" applyAlignment="1" applyProtection="1">
      <alignment/>
      <protection/>
    </xf>
    <xf numFmtId="43" fontId="0" fillId="0" borderId="0" xfId="0" applyNumberFormat="1" applyAlignment="1" applyProtection="1">
      <alignment/>
      <protection/>
    </xf>
    <xf numFmtId="43" fontId="0" fillId="0" borderId="10" xfId="42" applyNumberFormat="1" applyFont="1" applyBorder="1" applyAlignment="1" applyProtection="1">
      <alignment/>
      <protection/>
    </xf>
    <xf numFmtId="43" fontId="0" fillId="0" borderId="0" xfId="42" applyNumberFormat="1"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horizontal="center"/>
      <protection/>
    </xf>
    <xf numFmtId="0" fontId="8" fillId="0" borderId="11" xfId="0" applyFont="1" applyBorder="1" applyAlignment="1" applyProtection="1">
      <alignment horizontal="center" vertical="top" wrapText="1"/>
      <protection/>
    </xf>
    <xf numFmtId="0" fontId="8"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top" wrapText="1"/>
      <protection/>
    </xf>
    <xf numFmtId="0" fontId="8" fillId="0" borderId="14" xfId="0" applyFont="1" applyBorder="1" applyAlignment="1" applyProtection="1">
      <alignment horizontal="center" vertical="top" wrapText="1"/>
      <protection/>
    </xf>
    <xf numFmtId="0" fontId="8" fillId="0" borderId="15" xfId="0" applyFont="1" applyBorder="1" applyAlignment="1" applyProtection="1">
      <alignment horizontal="center" vertical="top" wrapText="1"/>
      <protection/>
    </xf>
    <xf numFmtId="0" fontId="8" fillId="0" borderId="16" xfId="0" applyFont="1" applyBorder="1" applyAlignment="1" applyProtection="1">
      <alignment horizontal="center" vertical="top" wrapText="1"/>
      <protection/>
    </xf>
    <xf numFmtId="0" fontId="8" fillId="0" borderId="17" xfId="0" applyFont="1" applyBorder="1" applyAlignment="1" applyProtection="1">
      <alignment horizontal="center" vertical="top" wrapText="1"/>
      <protection/>
    </xf>
    <xf numFmtId="0" fontId="10" fillId="0" borderId="0" xfId="53" applyFont="1" applyAlignment="1" applyProtection="1">
      <alignment/>
      <protection/>
    </xf>
    <xf numFmtId="0" fontId="8" fillId="0" borderId="18" xfId="0" applyFont="1" applyBorder="1" applyAlignment="1" applyProtection="1">
      <alignment horizontal="right" vertical="top" wrapText="1"/>
      <protection/>
    </xf>
    <xf numFmtId="166" fontId="8" fillId="0" borderId="19" xfId="0" applyNumberFormat="1" applyFont="1" applyBorder="1" applyAlignment="1" applyProtection="1">
      <alignment horizontal="center" vertical="top" wrapText="1"/>
      <protection/>
    </xf>
    <xf numFmtId="0" fontId="8" fillId="0" borderId="0" xfId="0" applyFont="1" applyAlignment="1" applyProtection="1">
      <alignment vertical="top"/>
      <protection/>
    </xf>
    <xf numFmtId="0" fontId="8" fillId="0" borderId="0" xfId="0" applyFont="1" applyAlignment="1" applyProtection="1">
      <alignment horizontal="left" wrapText="1"/>
      <protection/>
    </xf>
    <xf numFmtId="0" fontId="8" fillId="0" borderId="0" xfId="0" applyFont="1" applyAlignment="1" applyProtection="1" quotePrefix="1">
      <alignment horizontal="right"/>
      <protection/>
    </xf>
    <xf numFmtId="0" fontId="8" fillId="0" borderId="0" xfId="0" applyFont="1" applyAlignment="1" applyProtection="1" quotePrefix="1">
      <alignment horizontal="right" vertical="top"/>
      <protection/>
    </xf>
    <xf numFmtId="0" fontId="8" fillId="0" borderId="0" xfId="0" applyFont="1" applyAlignment="1" applyProtection="1">
      <alignment horizontal="right"/>
      <protection/>
    </xf>
    <xf numFmtId="0" fontId="8" fillId="0" borderId="0" xfId="0" applyFont="1" applyAlignment="1" applyProtection="1">
      <alignment/>
      <protection/>
    </xf>
    <xf numFmtId="0" fontId="8" fillId="0" borderId="0" xfId="0" applyFont="1" applyAlignment="1" applyProtection="1">
      <alignment horizontal="left"/>
      <protection/>
    </xf>
    <xf numFmtId="0" fontId="8" fillId="0" borderId="10"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8" fillId="0" borderId="20" xfId="0" applyFont="1" applyBorder="1" applyAlignment="1" applyProtection="1">
      <alignment horizontal="center" vertical="top" wrapText="1"/>
      <protection locked="0"/>
    </xf>
    <xf numFmtId="166" fontId="8" fillId="0" borderId="21" xfId="0" applyNumberFormat="1" applyFont="1" applyBorder="1" applyAlignment="1" applyProtection="1">
      <alignment horizontal="center" vertical="top" wrapText="1"/>
      <protection locked="0"/>
    </xf>
    <xf numFmtId="44" fontId="0" fillId="0" borderId="10" xfId="44" applyNumberFormat="1" applyFont="1" applyBorder="1" applyAlignment="1" applyProtection="1">
      <alignment/>
      <protection/>
    </xf>
    <xf numFmtId="165" fontId="0" fillId="0" borderId="0" xfId="42" applyNumberFormat="1" applyFont="1" applyAlignment="1" applyProtection="1" quotePrefix="1">
      <alignment/>
      <protection/>
    </xf>
    <xf numFmtId="14" fontId="8" fillId="0" borderId="20" xfId="0" applyNumberFormat="1" applyFont="1" applyBorder="1" applyAlignment="1" applyProtection="1">
      <alignment horizontal="center" vertical="top" wrapText="1"/>
      <protection locked="0"/>
    </xf>
    <xf numFmtId="3" fontId="0" fillId="0" borderId="10" xfId="0" applyNumberFormat="1" applyFont="1" applyBorder="1" applyAlignment="1" applyProtection="1">
      <alignment horizontal="center"/>
      <protection/>
    </xf>
    <xf numFmtId="0" fontId="0" fillId="0" borderId="0" xfId="0" applyBorder="1" applyAlignment="1">
      <alignment horizontal="left"/>
    </xf>
    <xf numFmtId="0" fontId="13" fillId="0" borderId="0" xfId="0" applyFont="1" applyAlignment="1">
      <alignment horizontal="left"/>
    </xf>
    <xf numFmtId="0" fontId="17" fillId="0" borderId="0" xfId="0" applyFont="1" applyAlignment="1">
      <alignment horizontal="justify"/>
    </xf>
    <xf numFmtId="0" fontId="17" fillId="0" borderId="0" xfId="0" applyFont="1" applyAlignment="1">
      <alignment horizontal="center"/>
    </xf>
    <xf numFmtId="0" fontId="13" fillId="0" borderId="0" xfId="0" applyFont="1" applyAlignment="1">
      <alignment horizontal="justify"/>
    </xf>
    <xf numFmtId="0" fontId="17" fillId="0" borderId="0" xfId="0" applyFont="1" applyAlignment="1">
      <alignment horizontal="left"/>
    </xf>
    <xf numFmtId="0" fontId="13" fillId="0" borderId="22" xfId="0" applyFont="1" applyBorder="1" applyAlignment="1" applyProtection="1">
      <alignment/>
      <protection/>
    </xf>
    <xf numFmtId="0" fontId="0" fillId="0" borderId="23" xfId="0" applyBorder="1" applyAlignment="1" applyProtection="1">
      <alignment/>
      <protection/>
    </xf>
    <xf numFmtId="0" fontId="13" fillId="0" borderId="23" xfId="0" applyFont="1" applyBorder="1" applyAlignment="1" applyProtection="1">
      <alignment horizontal="center"/>
      <protection/>
    </xf>
    <xf numFmtId="0" fontId="0" fillId="0" borderId="23" xfId="0" applyBorder="1" applyAlignment="1" applyProtection="1">
      <alignment/>
      <protection/>
    </xf>
    <xf numFmtId="0" fontId="0" fillId="0" borderId="24" xfId="0" applyBorder="1" applyAlignment="1" applyProtection="1">
      <alignment/>
      <protection/>
    </xf>
    <xf numFmtId="0" fontId="13" fillId="0" borderId="25" xfId="0" applyFont="1" applyBorder="1" applyAlignment="1" applyProtection="1">
      <alignment horizontal="center"/>
      <protection/>
    </xf>
    <xf numFmtId="0" fontId="0" fillId="0" borderId="26" xfId="0" applyBorder="1" applyAlignment="1" applyProtection="1">
      <alignment/>
      <protection/>
    </xf>
    <xf numFmtId="0" fontId="14" fillId="0" borderId="25" xfId="0" applyFont="1" applyBorder="1" applyAlignment="1" applyProtection="1">
      <alignment horizontal="right"/>
      <protection/>
    </xf>
    <xf numFmtId="0" fontId="15" fillId="0" borderId="0" xfId="0" applyFont="1" applyBorder="1" applyAlignment="1" applyProtection="1">
      <alignment horizontal="left"/>
      <protection/>
    </xf>
    <xf numFmtId="0" fontId="13" fillId="0" borderId="0" xfId="0" applyFont="1" applyBorder="1" applyAlignment="1" applyProtection="1">
      <alignment horizontal="left"/>
      <protection/>
    </xf>
    <xf numFmtId="0" fontId="14" fillId="0" borderId="25" xfId="0" applyFont="1" applyBorder="1" applyAlignment="1" applyProtection="1">
      <alignment horizontal="left"/>
      <protection/>
    </xf>
    <xf numFmtId="0" fontId="0" fillId="0" borderId="27" xfId="0" applyBorder="1" applyAlignment="1" applyProtection="1">
      <alignment/>
      <protection/>
    </xf>
    <xf numFmtId="0" fontId="13" fillId="0" borderId="0" xfId="0" applyFont="1" applyBorder="1" applyAlignment="1" applyProtection="1">
      <alignment horizontal="justify"/>
      <protection/>
    </xf>
    <xf numFmtId="0" fontId="13" fillId="0" borderId="22" xfId="0" applyFont="1" applyBorder="1" applyAlignment="1" applyProtection="1">
      <alignment horizontal="justify"/>
      <protection/>
    </xf>
    <xf numFmtId="0" fontId="13" fillId="0" borderId="23" xfId="0" applyFont="1" applyBorder="1" applyAlignment="1" applyProtection="1">
      <alignment/>
      <protection/>
    </xf>
    <xf numFmtId="0" fontId="13" fillId="0" borderId="25" xfId="0" applyFont="1" applyBorder="1" applyAlignment="1" applyProtection="1">
      <alignment horizontal="justify"/>
      <protection/>
    </xf>
    <xf numFmtId="0" fontId="13" fillId="0" borderId="0" xfId="0" applyFont="1" applyBorder="1" applyAlignment="1" applyProtection="1">
      <alignment/>
      <protection/>
    </xf>
    <xf numFmtId="0" fontId="0" fillId="0" borderId="25" xfId="0" applyBorder="1" applyAlignment="1" applyProtection="1">
      <alignment/>
      <protection/>
    </xf>
    <xf numFmtId="0" fontId="16" fillId="0" borderId="25" xfId="0" applyFont="1" applyBorder="1" applyAlignment="1" applyProtection="1">
      <alignment horizontal="justify"/>
      <protection/>
    </xf>
    <xf numFmtId="0" fontId="13" fillId="0" borderId="28" xfId="0" applyFont="1" applyBorder="1" applyAlignment="1" applyProtection="1">
      <alignment horizontal="justify"/>
      <protection/>
    </xf>
    <xf numFmtId="0" fontId="13" fillId="0" borderId="10" xfId="0" applyFont="1" applyBorder="1" applyAlignment="1" applyProtection="1">
      <alignment horizontal="left"/>
      <protection/>
    </xf>
    <xf numFmtId="0" fontId="0" fillId="0" borderId="0" xfId="0" applyAlignment="1" applyProtection="1">
      <alignment/>
      <protection/>
    </xf>
    <xf numFmtId="49" fontId="0" fillId="0" borderId="0" xfId="0" applyNumberFormat="1" applyBorder="1" applyAlignment="1">
      <alignment/>
    </xf>
    <xf numFmtId="0" fontId="0" fillId="0" borderId="0" xfId="0" applyAlignment="1" applyProtection="1">
      <alignment wrapText="1"/>
      <protection/>
    </xf>
    <xf numFmtId="0" fontId="15" fillId="0" borderId="0" xfId="0" applyFont="1" applyFill="1" applyBorder="1" applyAlignment="1" applyProtection="1">
      <alignment horizontal="left"/>
      <protection/>
    </xf>
    <xf numFmtId="0" fontId="0" fillId="0" borderId="28" xfId="0" applyBorder="1" applyAlignment="1" applyProtection="1">
      <alignment/>
      <protection/>
    </xf>
    <xf numFmtId="165" fontId="0" fillId="0" borderId="0" xfId="42" applyNumberFormat="1" applyFont="1" applyAlignment="1" applyProtection="1">
      <alignment horizontal="center" wrapText="1"/>
      <protection/>
    </xf>
    <xf numFmtId="43" fontId="11" fillId="0" borderId="24" xfId="42" applyFont="1" applyFill="1" applyBorder="1" applyAlignment="1" applyProtection="1">
      <alignment horizontal="center"/>
      <protection locked="0"/>
    </xf>
    <xf numFmtId="43" fontId="11" fillId="0" borderId="26" xfId="42" applyFont="1" applyFill="1" applyBorder="1" applyAlignment="1" applyProtection="1">
      <alignment horizontal="center"/>
      <protection locked="0"/>
    </xf>
    <xf numFmtId="43" fontId="11" fillId="0" borderId="27" xfId="42" applyFont="1" applyFill="1" applyBorder="1" applyAlignment="1" applyProtection="1">
      <alignment horizontal="center"/>
      <protection locked="0"/>
    </xf>
    <xf numFmtId="1" fontId="0" fillId="0" borderId="0" xfId="0" applyNumberFormat="1" applyFont="1" applyFill="1" applyBorder="1" applyAlignment="1" applyProtection="1">
      <alignment wrapText="1"/>
      <protection/>
    </xf>
    <xf numFmtId="1" fontId="2" fillId="0" borderId="29" xfId="0" applyNumberFormat="1" applyFont="1" applyBorder="1" applyAlignment="1" applyProtection="1">
      <alignment horizontal="left" wrapText="1"/>
      <protection/>
    </xf>
    <xf numFmtId="4" fontId="21" fillId="0" borderId="30" xfId="0" applyNumberFormat="1" applyFont="1" applyFill="1" applyBorder="1" applyAlignment="1" applyProtection="1">
      <alignment horizontal="center" wrapText="1"/>
      <protection/>
    </xf>
    <xf numFmtId="1" fontId="0" fillId="0" borderId="0" xfId="0" applyNumberFormat="1" applyFont="1" applyFill="1" applyAlignment="1" applyProtection="1">
      <alignment/>
      <protection/>
    </xf>
    <xf numFmtId="1" fontId="2" fillId="0" borderId="31" xfId="0" applyNumberFormat="1" applyFont="1" applyFill="1" applyBorder="1" applyAlignment="1" applyProtection="1">
      <alignment wrapText="1"/>
      <protection/>
    </xf>
    <xf numFmtId="43" fontId="0" fillId="0" borderId="27" xfId="42" applyFont="1" applyFill="1" applyBorder="1" applyAlignment="1" applyProtection="1">
      <alignment horizontal="center"/>
      <protection/>
    </xf>
    <xf numFmtId="4" fontId="0" fillId="0" borderId="32" xfId="42" applyNumberFormat="1" applyFont="1" applyFill="1" applyBorder="1" applyAlignment="1" applyProtection="1">
      <alignment horizontal="center"/>
      <protection/>
    </xf>
    <xf numFmtId="4" fontId="0" fillId="0" borderId="29" xfId="0" applyNumberFormat="1" applyFont="1" applyFill="1" applyBorder="1" applyAlignment="1" applyProtection="1">
      <alignment wrapText="1"/>
      <protection/>
    </xf>
    <xf numFmtId="1" fontId="0" fillId="0" borderId="0" xfId="0" applyNumberFormat="1" applyFont="1" applyFill="1" applyBorder="1" applyAlignment="1" applyProtection="1">
      <alignment horizontal="left" wrapText="1"/>
      <protection/>
    </xf>
    <xf numFmtId="43" fontId="0" fillId="0" borderId="0" xfId="42" applyFont="1" applyFill="1" applyBorder="1" applyAlignment="1" applyProtection="1">
      <alignment horizontal="left" wrapText="1"/>
      <protection/>
    </xf>
    <xf numFmtId="10" fontId="0" fillId="0" borderId="28" xfId="60" applyNumberFormat="1" applyFont="1" applyFill="1" applyBorder="1" applyAlignment="1" applyProtection="1">
      <alignment/>
      <protection/>
    </xf>
    <xf numFmtId="10" fontId="0" fillId="0" borderId="22" xfId="60" applyNumberFormat="1" applyFont="1" applyFill="1" applyBorder="1" applyAlignment="1" applyProtection="1">
      <alignment/>
      <protection/>
    </xf>
    <xf numFmtId="10" fontId="0" fillId="0" borderId="25" xfId="60" applyNumberFormat="1" applyFont="1" applyFill="1" applyBorder="1" applyAlignment="1" applyProtection="1">
      <alignment/>
      <protection/>
    </xf>
    <xf numFmtId="10" fontId="0" fillId="0" borderId="0" xfId="60" applyNumberFormat="1" applyFont="1" applyFill="1" applyBorder="1" applyAlignment="1" applyProtection="1">
      <alignment/>
      <protection/>
    </xf>
    <xf numFmtId="1" fontId="2" fillId="0" borderId="0" xfId="0" applyNumberFormat="1" applyFont="1" applyFill="1" applyAlignment="1" applyProtection="1">
      <alignment wrapText="1"/>
      <protection/>
    </xf>
    <xf numFmtId="1" fontId="2" fillId="0" borderId="0" xfId="0" applyNumberFormat="1" applyFont="1" applyFill="1" applyAlignment="1" applyProtection="1">
      <alignment horizontal="left" wrapText="1"/>
      <protection/>
    </xf>
    <xf numFmtId="1" fontId="0" fillId="0" borderId="0" xfId="0" applyNumberFormat="1" applyFont="1" applyFill="1" applyAlignment="1" applyProtection="1">
      <alignment wrapText="1"/>
      <protection/>
    </xf>
    <xf numFmtId="1" fontId="0" fillId="0" borderId="0" xfId="0" applyNumberFormat="1" applyFont="1" applyFill="1" applyAlignment="1" applyProtection="1">
      <alignment wrapText="1"/>
      <protection/>
    </xf>
    <xf numFmtId="1" fontId="2" fillId="0" borderId="0" xfId="60" applyNumberFormat="1" applyFont="1" applyFill="1" applyAlignment="1" applyProtection="1">
      <alignment horizontal="center" wrapText="1"/>
      <protection/>
    </xf>
    <xf numFmtId="1" fontId="0" fillId="0" borderId="0" xfId="42" applyNumberFormat="1" applyFont="1" applyFill="1" applyAlignment="1" applyProtection="1">
      <alignment/>
      <protection/>
    </xf>
    <xf numFmtId="1" fontId="2" fillId="0" borderId="29" xfId="0" applyNumberFormat="1" applyFont="1" applyBorder="1" applyAlignment="1" applyProtection="1">
      <alignment wrapText="1"/>
      <protection/>
    </xf>
    <xf numFmtId="0" fontId="0" fillId="0" borderId="0" xfId="0" applyFill="1" applyBorder="1" applyAlignment="1">
      <alignment/>
    </xf>
    <xf numFmtId="1" fontId="2" fillId="0" borderId="0" xfId="0" applyNumberFormat="1" applyFont="1" applyFill="1" applyBorder="1" applyAlignment="1" applyProtection="1">
      <alignment wrapText="1"/>
      <protection/>
    </xf>
    <xf numFmtId="1" fontId="0" fillId="0" borderId="24" xfId="0" applyNumberFormat="1" applyFont="1" applyFill="1" applyBorder="1" applyAlignment="1" applyProtection="1">
      <alignment wrapText="1"/>
      <protection/>
    </xf>
    <xf numFmtId="1" fontId="0" fillId="0" borderId="26" xfId="0" applyNumberFormat="1" applyFont="1" applyFill="1" applyBorder="1" applyAlignment="1" applyProtection="1">
      <alignment wrapText="1"/>
      <protection/>
    </xf>
    <xf numFmtId="1" fontId="0" fillId="0" borderId="27" xfId="0" applyNumberFormat="1" applyFont="1" applyFill="1" applyBorder="1" applyAlignment="1" applyProtection="1">
      <alignment wrapText="1"/>
      <protection/>
    </xf>
    <xf numFmtId="1" fontId="0" fillId="0" borderId="31" xfId="0" applyNumberFormat="1" applyFont="1" applyFill="1" applyBorder="1" applyAlignment="1" applyProtection="1">
      <alignment wrapText="1"/>
      <protection/>
    </xf>
    <xf numFmtId="165" fontId="21" fillId="0" borderId="29" xfId="42" applyNumberFormat="1" applyFont="1" applyFill="1" applyBorder="1" applyAlignment="1" applyProtection="1">
      <alignment wrapText="1"/>
      <protection locked="0"/>
    </xf>
    <xf numFmtId="4" fontId="21" fillId="0" borderId="0" xfId="0" applyNumberFormat="1" applyFont="1" applyFill="1" applyBorder="1" applyAlignment="1" applyProtection="1">
      <alignment horizontal="center" wrapText="1"/>
      <protection/>
    </xf>
    <xf numFmtId="1" fontId="2" fillId="0" borderId="10" xfId="0" applyNumberFormat="1" applyFont="1" applyBorder="1" applyAlignment="1" applyProtection="1">
      <alignment horizontal="center" wrapText="1"/>
      <protection/>
    </xf>
    <xf numFmtId="10" fontId="0" fillId="0" borderId="29" xfId="60" applyNumberFormat="1" applyFont="1" applyBorder="1" applyAlignment="1">
      <alignment/>
    </xf>
    <xf numFmtId="10" fontId="92" fillId="0" borderId="29" xfId="60" applyNumberFormat="1" applyFont="1" applyBorder="1" applyAlignment="1">
      <alignment/>
    </xf>
    <xf numFmtId="10" fontId="0" fillId="0" borderId="29" xfId="60" applyNumberFormat="1" applyFont="1" applyBorder="1" applyAlignment="1" quotePrefix="1">
      <alignment/>
    </xf>
    <xf numFmtId="165" fontId="21" fillId="0" borderId="29" xfId="42" applyNumberFormat="1" applyFont="1" applyFill="1" applyBorder="1" applyAlignment="1" applyProtection="1">
      <alignment horizontal="right" wrapText="1"/>
      <protection/>
    </xf>
    <xf numFmtId="43" fontId="0" fillId="0" borderId="29" xfId="42" applyFont="1" applyBorder="1" applyAlignment="1">
      <alignment/>
    </xf>
    <xf numFmtId="43" fontId="92" fillId="0" borderId="29" xfId="42" applyFont="1" applyBorder="1" applyAlignment="1">
      <alignment/>
    </xf>
    <xf numFmtId="1" fontId="0" fillId="0" borderId="26" xfId="0" applyNumberFormat="1" applyFont="1" applyFill="1" applyBorder="1" applyAlignment="1" applyProtection="1">
      <alignment wrapText="1"/>
      <protection/>
    </xf>
    <xf numFmtId="4" fontId="0" fillId="0" borderId="26" xfId="42" applyNumberFormat="1" applyFont="1" applyFill="1" applyBorder="1" applyAlignment="1" applyProtection="1">
      <alignment horizontal="center"/>
      <protection locked="0"/>
    </xf>
    <xf numFmtId="3" fontId="0" fillId="0" borderId="30" xfId="0" applyNumberFormat="1" applyFont="1" applyFill="1" applyBorder="1" applyAlignment="1" applyProtection="1">
      <alignment horizontal="center" wrapText="1"/>
      <protection/>
    </xf>
    <xf numFmtId="10" fontId="0" fillId="0" borderId="25" xfId="60" applyNumberFormat="1" applyFont="1" applyFill="1" applyBorder="1" applyAlignment="1" applyProtection="1">
      <alignment wrapText="1"/>
      <protection/>
    </xf>
    <xf numFmtId="9" fontId="0" fillId="0" borderId="30" xfId="60" applyFont="1" applyFill="1" applyBorder="1" applyAlignment="1" applyProtection="1">
      <alignment/>
      <protection/>
    </xf>
    <xf numFmtId="1" fontId="0" fillId="0" borderId="0" xfId="0" applyNumberFormat="1" applyFont="1" applyFill="1" applyBorder="1" applyAlignment="1" applyProtection="1">
      <alignment wrapText="1"/>
      <protection/>
    </xf>
    <xf numFmtId="1" fontId="2" fillId="0" borderId="29" xfId="0" applyNumberFormat="1" applyFont="1" applyBorder="1" applyAlignment="1" applyProtection="1">
      <alignment horizontal="center" wrapText="1"/>
      <protection/>
    </xf>
    <xf numFmtId="1" fontId="0" fillId="0" borderId="0" xfId="42" applyNumberFormat="1" applyFont="1" applyFill="1" applyAlignment="1" applyProtection="1">
      <alignment/>
      <protection/>
    </xf>
    <xf numFmtId="1" fontId="0" fillId="0" borderId="0" xfId="0" applyNumberFormat="1" applyFont="1" applyFill="1" applyAlignment="1" applyProtection="1">
      <alignment wrapText="1"/>
      <protection/>
    </xf>
    <xf numFmtId="1" fontId="0" fillId="0" borderId="0" xfId="0" applyNumberFormat="1" applyFont="1" applyFill="1" applyBorder="1" applyAlignment="1" applyProtection="1">
      <alignment horizontal="left" wrapText="1"/>
      <protection/>
    </xf>
    <xf numFmtId="43" fontId="0" fillId="0" borderId="0" xfId="42" applyFont="1" applyFill="1" applyBorder="1" applyAlignment="1" applyProtection="1">
      <alignment horizontal="left" wrapText="1"/>
      <protection/>
    </xf>
    <xf numFmtId="43" fontId="0" fillId="0" borderId="33" xfId="42" applyFont="1" applyFill="1" applyBorder="1" applyAlignment="1" applyProtection="1">
      <alignment/>
      <protection/>
    </xf>
    <xf numFmtId="1" fontId="0" fillId="0" borderId="31" xfId="0" applyNumberFormat="1" applyFont="1" applyFill="1" applyBorder="1" applyAlignment="1" applyProtection="1">
      <alignment wrapText="1"/>
      <protection/>
    </xf>
    <xf numFmtId="43" fontId="0" fillId="0" borderId="29" xfId="42" applyFont="1" applyFill="1" applyBorder="1" applyAlignment="1" applyProtection="1">
      <alignment wrapText="1"/>
      <protection/>
    </xf>
    <xf numFmtId="43" fontId="0" fillId="0" borderId="27" xfId="42" applyFont="1" applyFill="1" applyBorder="1" applyAlignment="1" applyProtection="1">
      <alignment/>
      <protection/>
    </xf>
    <xf numFmtId="44" fontId="0" fillId="0" borderId="0" xfId="44" applyFont="1" applyBorder="1" applyAlignment="1" applyProtection="1">
      <alignment/>
      <protection/>
    </xf>
    <xf numFmtId="164" fontId="0" fillId="0" borderId="0" xfId="0" applyNumberFormat="1" applyBorder="1" applyAlignment="1" applyProtection="1">
      <alignment horizontal="center"/>
      <protection/>
    </xf>
    <xf numFmtId="0" fontId="2" fillId="0" borderId="0" xfId="0" applyFont="1" applyAlignment="1" applyProtection="1">
      <alignment horizontal="center" wrapText="1"/>
      <protection/>
    </xf>
    <xf numFmtId="3" fontId="0" fillId="0" borderId="10" xfId="0" applyNumberFormat="1" applyFont="1" applyBorder="1" applyAlignment="1" applyProtection="1">
      <alignment horizontal="center"/>
      <protection/>
    </xf>
    <xf numFmtId="1" fontId="0" fillId="0" borderId="0" xfId="42" applyNumberFormat="1" applyFont="1" applyAlignment="1" applyProtection="1">
      <alignment horizontal="center" wrapText="1"/>
      <protection/>
    </xf>
    <xf numFmtId="165" fontId="0" fillId="0" borderId="0" xfId="42" applyNumberFormat="1" applyFont="1" applyAlignment="1" applyProtection="1">
      <alignment horizontal="right" wrapText="1"/>
      <protection/>
    </xf>
    <xf numFmtId="2" fontId="0" fillId="0" borderId="10" xfId="0" applyNumberFormat="1" applyFont="1" applyBorder="1" applyAlignment="1">
      <alignment/>
    </xf>
    <xf numFmtId="43" fontId="0" fillId="0" borderId="0" xfId="42" applyFont="1" applyFill="1" applyAlignment="1" applyProtection="1">
      <alignment/>
      <protection/>
    </xf>
    <xf numFmtId="43" fontId="0" fillId="0" borderId="0" xfId="42" applyNumberFormat="1" applyFont="1" applyAlignment="1" applyProtection="1">
      <alignment horizontal="center"/>
      <protection/>
    </xf>
    <xf numFmtId="0" fontId="0" fillId="0" borderId="34" xfId="0"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38" xfId="0" applyBorder="1" applyAlignment="1" applyProtection="1">
      <alignment/>
      <protection/>
    </xf>
    <xf numFmtId="44" fontId="0" fillId="0" borderId="0" xfId="44" applyNumberFormat="1" applyFont="1" applyBorder="1" applyAlignment="1" applyProtection="1">
      <alignment/>
      <protection/>
    </xf>
    <xf numFmtId="0" fontId="2" fillId="0" borderId="0" xfId="0" applyFont="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0" fontId="0" fillId="0" borderId="10" xfId="0" applyBorder="1" applyAlignment="1" applyProtection="1" quotePrefix="1">
      <alignment/>
      <protection/>
    </xf>
    <xf numFmtId="0" fontId="0" fillId="0" borderId="10" xfId="0" applyBorder="1" applyAlignment="1" applyProtection="1">
      <alignment/>
      <protection/>
    </xf>
    <xf numFmtId="0" fontId="0" fillId="0" borderId="10" xfId="0" applyBorder="1" applyAlignment="1" applyProtection="1" quotePrefix="1">
      <alignment horizontal="left"/>
      <protection/>
    </xf>
    <xf numFmtId="0" fontId="0" fillId="0" borderId="0" xfId="0" applyBorder="1" applyAlignment="1" applyProtection="1" quotePrefix="1">
      <alignment/>
      <protection/>
    </xf>
    <xf numFmtId="0" fontId="0" fillId="0" borderId="0" xfId="0" applyBorder="1" applyAlignment="1" applyProtection="1">
      <alignment/>
      <protection/>
    </xf>
    <xf numFmtId="0" fontId="0" fillId="0" borderId="0" xfId="0" applyBorder="1" applyAlignment="1" applyProtection="1" quotePrefix="1">
      <alignment horizontal="left"/>
      <protection/>
    </xf>
    <xf numFmtId="9" fontId="0" fillId="0" borderId="0" xfId="60" applyFont="1" applyBorder="1" applyAlignment="1" applyProtection="1" quotePrefix="1">
      <alignment horizontal="left"/>
      <protection locked="0"/>
    </xf>
    <xf numFmtId="44" fontId="0" fillId="0" borderId="23" xfId="44" applyFont="1" applyBorder="1" applyAlignment="1" applyProtection="1">
      <alignment/>
      <protection/>
    </xf>
    <xf numFmtId="0" fontId="0" fillId="0" borderId="23" xfId="0" applyBorder="1" applyAlignment="1" applyProtection="1" quotePrefix="1">
      <alignment/>
      <protection/>
    </xf>
    <xf numFmtId="0" fontId="0" fillId="0" borderId="23" xfId="0" applyBorder="1" applyAlignment="1" applyProtection="1" quotePrefix="1">
      <alignment horizontal="left"/>
      <protection/>
    </xf>
    <xf numFmtId="0" fontId="0" fillId="0" borderId="22" xfId="0" applyBorder="1" applyAlignment="1" applyProtection="1">
      <alignment/>
      <protection/>
    </xf>
    <xf numFmtId="44" fontId="0" fillId="0" borderId="10" xfId="44" applyFont="1" applyBorder="1" applyAlignment="1" applyProtection="1" quotePrefix="1">
      <alignment/>
      <protection/>
    </xf>
    <xf numFmtId="0" fontId="0" fillId="0" borderId="0" xfId="0" applyFont="1" applyAlignment="1" applyProtection="1">
      <alignment horizontal="left"/>
      <protection/>
    </xf>
    <xf numFmtId="4" fontId="21" fillId="0" borderId="0" xfId="0" applyNumberFormat="1" applyFont="1" applyFill="1" applyBorder="1" applyAlignment="1" applyProtection="1">
      <alignment horizontal="center" wrapText="1"/>
      <protection locked="0"/>
    </xf>
    <xf numFmtId="1" fontId="0" fillId="33" borderId="30" xfId="0" applyNumberFormat="1" applyFill="1" applyBorder="1" applyAlignment="1" applyProtection="1">
      <alignment/>
      <protection/>
    </xf>
    <xf numFmtId="1" fontId="0" fillId="33" borderId="30" xfId="0" applyNumberFormat="1" applyFill="1" applyBorder="1" applyAlignment="1" applyProtection="1">
      <alignment horizontal="right"/>
      <protection/>
    </xf>
    <xf numFmtId="1" fontId="0" fillId="33" borderId="30" xfId="0" applyNumberFormat="1" applyFont="1" applyFill="1" applyBorder="1" applyAlignment="1" applyProtection="1">
      <alignment horizontal="center"/>
      <protection/>
    </xf>
    <xf numFmtId="1" fontId="0" fillId="33" borderId="30" xfId="0" applyNumberFormat="1" applyFont="1" applyFill="1" applyBorder="1" applyAlignment="1" applyProtection="1">
      <alignment horizontal="right"/>
      <protection/>
    </xf>
    <xf numFmtId="1" fontId="0" fillId="33" borderId="30" xfId="0" applyNumberFormat="1" applyFont="1" applyFill="1" applyBorder="1" applyAlignment="1" applyProtection="1">
      <alignment horizontal="left"/>
      <protection/>
    </xf>
    <xf numFmtId="1" fontId="0" fillId="33" borderId="30" xfId="0" applyNumberFormat="1" applyFont="1" applyFill="1" applyBorder="1" applyAlignment="1" applyProtection="1">
      <alignment horizontal="left"/>
      <protection/>
    </xf>
    <xf numFmtId="1" fontId="0" fillId="33" borderId="30" xfId="0" applyNumberFormat="1" applyFont="1" applyFill="1" applyBorder="1" applyAlignment="1" applyProtection="1">
      <alignment horizontal="right"/>
      <protection/>
    </xf>
    <xf numFmtId="1" fontId="0" fillId="33" borderId="30" xfId="0" applyNumberFormat="1" applyFont="1" applyFill="1" applyBorder="1" applyAlignment="1" applyProtection="1">
      <alignment horizontal="right"/>
      <protection/>
    </xf>
    <xf numFmtId="1" fontId="0" fillId="33" borderId="30" xfId="0" applyNumberFormat="1" applyFont="1" applyFill="1" applyBorder="1" applyAlignment="1" applyProtection="1">
      <alignment horizontal="left"/>
      <protection/>
    </xf>
    <xf numFmtId="1" fontId="0" fillId="33" borderId="30" xfId="0" applyNumberFormat="1" applyFont="1" applyFill="1" applyBorder="1" applyAlignment="1" applyProtection="1">
      <alignment horizontal="right"/>
      <protection/>
    </xf>
    <xf numFmtId="1" fontId="92" fillId="0" borderId="29" xfId="0" applyNumberFormat="1" applyFont="1" applyBorder="1" applyAlignment="1" applyProtection="1">
      <alignment horizontal="right" wrapText="1"/>
      <protection/>
    </xf>
    <xf numFmtId="1" fontId="2" fillId="0" borderId="29" xfId="0" applyNumberFormat="1" applyFont="1" applyFill="1" applyBorder="1" applyAlignment="1" applyProtection="1">
      <alignment wrapText="1"/>
      <protection/>
    </xf>
    <xf numFmtId="1" fontId="2" fillId="0" borderId="0" xfId="0" applyNumberFormat="1" applyFont="1" applyFill="1" applyBorder="1" applyAlignment="1" applyProtection="1">
      <alignment wrapText="1"/>
      <protection/>
    </xf>
    <xf numFmtId="10" fontId="0" fillId="0" borderId="29" xfId="60" applyNumberFormat="1" applyFont="1" applyFill="1" applyBorder="1" applyAlignment="1" applyProtection="1">
      <alignment wrapText="1"/>
      <protection/>
    </xf>
    <xf numFmtId="165" fontId="0" fillId="0" borderId="0" xfId="42" applyNumberFormat="1" applyFont="1" applyFill="1" applyBorder="1" applyAlignment="1" applyProtection="1">
      <alignment wrapText="1"/>
      <protection/>
    </xf>
    <xf numFmtId="165" fontId="0" fillId="0" borderId="0" xfId="42" applyNumberFormat="1" applyFont="1" applyFill="1" applyBorder="1" applyAlignment="1" applyProtection="1">
      <alignment wrapText="1"/>
      <protection/>
    </xf>
    <xf numFmtId="1" fontId="2" fillId="0" borderId="25" xfId="0" applyNumberFormat="1" applyFont="1" applyFill="1" applyBorder="1" applyAlignment="1" applyProtection="1">
      <alignment wrapText="1"/>
      <protection/>
    </xf>
    <xf numFmtId="10" fontId="0" fillId="0" borderId="32" xfId="60" applyNumberFormat="1" applyFont="1" applyFill="1" applyBorder="1" applyAlignment="1" applyProtection="1">
      <alignment/>
      <protection/>
    </xf>
    <xf numFmtId="10" fontId="0" fillId="0" borderId="33" xfId="60" applyNumberFormat="1" applyFont="1" applyFill="1" applyBorder="1" applyAlignment="1" applyProtection="1">
      <alignment/>
      <protection/>
    </xf>
    <xf numFmtId="10" fontId="0" fillId="0" borderId="30" xfId="6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11" fillId="0" borderId="22" xfId="42" applyNumberFormat="1" applyFont="1" applyFill="1" applyBorder="1" applyAlignment="1" applyProtection="1">
      <alignment/>
      <protection/>
    </xf>
    <xf numFmtId="2" fontId="11" fillId="0" borderId="0" xfId="42" applyNumberFormat="1" applyFont="1" applyFill="1" applyBorder="1" applyAlignment="1" applyProtection="1">
      <alignment/>
      <protection/>
    </xf>
    <xf numFmtId="2" fontId="11" fillId="0" borderId="10" xfId="42" applyNumberFormat="1" applyFont="1" applyFill="1" applyBorder="1" applyAlignment="1" applyProtection="1">
      <alignment/>
      <protection/>
    </xf>
    <xf numFmtId="2" fontId="0" fillId="0" borderId="10" xfId="42" applyNumberFormat="1" applyFont="1" applyFill="1" applyBorder="1" applyAlignment="1" applyProtection="1">
      <alignment/>
      <protection/>
    </xf>
    <xf numFmtId="2" fontId="0" fillId="0" borderId="27" xfId="42" applyNumberFormat="1" applyFont="1" applyFill="1" applyBorder="1" applyAlignment="1" applyProtection="1">
      <alignment/>
      <protection/>
    </xf>
    <xf numFmtId="2" fontId="0" fillId="0" borderId="0" xfId="42" applyNumberFormat="1" applyFont="1" applyFill="1" applyBorder="1" applyAlignment="1" applyProtection="1">
      <alignment wrapText="1"/>
      <protection/>
    </xf>
    <xf numFmtId="2" fontId="0" fillId="0" borderId="0" xfId="42" applyNumberFormat="1" applyFont="1" applyFill="1" applyBorder="1" applyAlignment="1" applyProtection="1">
      <alignment wrapText="1"/>
      <protection/>
    </xf>
    <xf numFmtId="2" fontId="0" fillId="0" borderId="0" xfId="0" applyNumberFormat="1" applyFont="1" applyFill="1" applyAlignment="1" applyProtection="1">
      <alignment wrapText="1"/>
      <protection/>
    </xf>
    <xf numFmtId="1" fontId="2" fillId="0" borderId="0" xfId="0" applyNumberFormat="1" applyFont="1" applyFill="1" applyBorder="1" applyAlignment="1" applyProtection="1">
      <alignment horizontal="left" wrapText="1"/>
      <protection/>
    </xf>
    <xf numFmtId="165" fontId="21" fillId="0" borderId="29" xfId="42" applyNumberFormat="1" applyFont="1" applyFill="1" applyBorder="1" applyAlignment="1" applyProtection="1">
      <alignment wrapText="1"/>
      <protection locked="0"/>
    </xf>
    <xf numFmtId="165" fontId="0" fillId="0" borderId="0" xfId="42" applyNumberFormat="1" applyFont="1" applyBorder="1" applyAlignment="1" applyProtection="1">
      <alignment horizontal="right" wrapText="1"/>
      <protection/>
    </xf>
    <xf numFmtId="0" fontId="93" fillId="0" borderId="0" xfId="0" applyFont="1" applyAlignment="1" applyProtection="1">
      <alignment/>
      <protection/>
    </xf>
    <xf numFmtId="0" fontId="8" fillId="0" borderId="0" xfId="0" applyFont="1" applyBorder="1" applyAlignment="1" applyProtection="1">
      <alignment horizontal="right"/>
      <protection/>
    </xf>
    <xf numFmtId="1" fontId="8" fillId="0" borderId="0" xfId="0" applyNumberFormat="1" applyFont="1" applyBorder="1" applyAlignment="1" applyProtection="1">
      <alignment/>
      <protection/>
    </xf>
    <xf numFmtId="43" fontId="11" fillId="0" borderId="0" xfId="42" applyFont="1" applyFill="1" applyBorder="1" applyAlignment="1" applyProtection="1">
      <alignment/>
      <protection/>
    </xf>
    <xf numFmtId="43" fontId="11" fillId="0" borderId="10" xfId="42" applyFont="1" applyFill="1" applyBorder="1" applyAlignment="1" applyProtection="1">
      <alignment/>
      <protection/>
    </xf>
    <xf numFmtId="43" fontId="0" fillId="0" borderId="10" xfId="42" applyFont="1" applyFill="1" applyBorder="1" applyAlignment="1" applyProtection="1">
      <alignment/>
      <protection/>
    </xf>
    <xf numFmtId="43" fontId="0" fillId="0" borderId="0" xfId="42" applyFont="1" applyFill="1" applyBorder="1" applyAlignment="1" applyProtection="1">
      <alignment wrapText="1"/>
      <protection/>
    </xf>
    <xf numFmtId="43" fontId="0" fillId="0" borderId="0" xfId="42" applyFont="1" applyFill="1" applyBorder="1" applyAlignment="1" applyProtection="1">
      <alignment wrapText="1"/>
      <protection/>
    </xf>
    <xf numFmtId="43" fontId="0" fillId="0" borderId="0" xfId="42" applyFont="1" applyFill="1" applyAlignment="1" applyProtection="1">
      <alignment wrapText="1"/>
      <protection/>
    </xf>
    <xf numFmtId="10" fontId="0" fillId="0" borderId="26" xfId="60" applyNumberFormat="1" applyFont="1" applyFill="1" applyBorder="1" applyAlignment="1" applyProtection="1">
      <alignment/>
      <protection/>
    </xf>
    <xf numFmtId="1" fontId="0" fillId="34" borderId="30" xfId="0" applyNumberFormat="1" applyFont="1" applyFill="1" applyBorder="1" applyAlignment="1" applyProtection="1">
      <alignment horizontal="right"/>
      <protection/>
    </xf>
    <xf numFmtId="1" fontId="0" fillId="34" borderId="30" xfId="0" applyNumberFormat="1" applyFont="1" applyFill="1" applyBorder="1" applyAlignment="1" applyProtection="1">
      <alignment/>
      <protection/>
    </xf>
    <xf numFmtId="1" fontId="0" fillId="34" borderId="30" xfId="0" applyNumberFormat="1" applyFill="1" applyBorder="1" applyAlignment="1" applyProtection="1">
      <alignment horizontal="right"/>
      <protection/>
    </xf>
    <xf numFmtId="1" fontId="2" fillId="34" borderId="30" xfId="0" applyNumberFormat="1" applyFont="1" applyFill="1" applyBorder="1" applyAlignment="1" applyProtection="1">
      <alignment wrapText="1"/>
      <protection/>
    </xf>
    <xf numFmtId="1" fontId="0" fillId="34" borderId="30" xfId="0" applyNumberFormat="1" applyFont="1" applyFill="1" applyBorder="1" applyAlignment="1" applyProtection="1">
      <alignment horizontal="right"/>
      <protection/>
    </xf>
    <xf numFmtId="1" fontId="0" fillId="34" borderId="30" xfId="0" applyNumberFormat="1" applyFont="1" applyFill="1" applyBorder="1" applyAlignment="1" applyProtection="1">
      <alignment/>
      <protection/>
    </xf>
    <xf numFmtId="1" fontId="0" fillId="34" borderId="30" xfId="0" applyNumberFormat="1" applyFill="1" applyBorder="1" applyAlignment="1" applyProtection="1">
      <alignment/>
      <protection/>
    </xf>
    <xf numFmtId="1" fontId="0" fillId="34" borderId="30" xfId="0" applyNumberFormat="1" applyFont="1" applyFill="1" applyBorder="1" applyAlignment="1" applyProtection="1">
      <alignment/>
      <protection/>
    </xf>
    <xf numFmtId="1" fontId="4" fillId="34" borderId="30" xfId="0" applyNumberFormat="1" applyFont="1" applyFill="1" applyBorder="1" applyAlignment="1" applyProtection="1">
      <alignment horizontal="right"/>
      <protection/>
    </xf>
    <xf numFmtId="1" fontId="0" fillId="34" borderId="30" xfId="0" applyNumberFormat="1" applyFont="1" applyFill="1" applyBorder="1" applyAlignment="1" applyProtection="1">
      <alignment horizontal="right"/>
      <protection/>
    </xf>
    <xf numFmtId="1" fontId="0" fillId="34" borderId="30" xfId="0" applyNumberFormat="1" applyFont="1" applyFill="1" applyBorder="1" applyAlignment="1" applyProtection="1">
      <alignment horizontal="left"/>
      <protection/>
    </xf>
    <xf numFmtId="1" fontId="0" fillId="34" borderId="30" xfId="0" applyNumberFormat="1" applyFont="1" applyFill="1" applyBorder="1" applyAlignment="1" applyProtection="1">
      <alignment horizontal="left"/>
      <protection/>
    </xf>
    <xf numFmtId="1" fontId="0" fillId="34" borderId="30" xfId="0" applyNumberFormat="1" applyFont="1" applyFill="1" applyBorder="1" applyAlignment="1" applyProtection="1">
      <alignment horizontal="right"/>
      <protection/>
    </xf>
    <xf numFmtId="1" fontId="0" fillId="34" borderId="30" xfId="0" applyNumberFormat="1" applyFont="1" applyFill="1" applyBorder="1" applyAlignment="1" applyProtection="1">
      <alignment/>
      <protection/>
    </xf>
    <xf numFmtId="1" fontId="0" fillId="34" borderId="30" xfId="0" applyNumberFormat="1" applyFill="1" applyBorder="1" applyAlignment="1" applyProtection="1">
      <alignment/>
      <protection/>
    </xf>
    <xf numFmtId="1" fontId="0" fillId="34" borderId="30" xfId="0" applyNumberFormat="1" applyFont="1" applyFill="1" applyBorder="1" applyAlignment="1" applyProtection="1">
      <alignment horizontal="center"/>
      <protection/>
    </xf>
    <xf numFmtId="1" fontId="0" fillId="34" borderId="30" xfId="0" applyNumberFormat="1" applyFont="1" applyFill="1" applyBorder="1" applyAlignment="1" applyProtection="1">
      <alignment horizontal="center"/>
      <protection/>
    </xf>
    <xf numFmtId="0" fontId="94" fillId="0" borderId="0" xfId="0" applyFont="1" applyAlignment="1" applyProtection="1">
      <alignment/>
      <protection/>
    </xf>
    <xf numFmtId="0" fontId="94" fillId="0" borderId="0" xfId="0" applyFont="1" applyAlignment="1" applyProtection="1">
      <alignment/>
      <protection/>
    </xf>
    <xf numFmtId="43" fontId="11" fillId="0" borderId="23" xfId="42" applyFont="1" applyFill="1" applyBorder="1" applyAlignment="1" applyProtection="1">
      <alignment/>
      <protection/>
    </xf>
    <xf numFmtId="10" fontId="0" fillId="0" borderId="23" xfId="60" applyNumberFormat="1" applyFont="1" applyFill="1" applyBorder="1" applyAlignment="1" applyProtection="1">
      <alignment/>
      <protection/>
    </xf>
    <xf numFmtId="10" fontId="0" fillId="0" borderId="10" xfId="60" applyNumberFormat="1" applyFont="1" applyFill="1" applyBorder="1" applyAlignment="1" applyProtection="1">
      <alignment/>
      <protection/>
    </xf>
    <xf numFmtId="43" fontId="0" fillId="0" borderId="29" xfId="42" applyFont="1" applyFill="1" applyBorder="1" applyAlignment="1" applyProtection="1">
      <alignment/>
      <protection/>
    </xf>
    <xf numFmtId="1" fontId="0" fillId="0" borderId="0" xfId="0" applyNumberFormat="1" applyFont="1" applyFill="1" applyBorder="1" applyAlignment="1" applyProtection="1">
      <alignment/>
      <protection/>
    </xf>
    <xf numFmtId="0" fontId="0" fillId="0" borderId="0" xfId="0" applyNumberFormat="1" applyBorder="1" applyAlignment="1" applyProtection="1">
      <alignment/>
      <protection/>
    </xf>
    <xf numFmtId="0" fontId="13" fillId="0" borderId="0" xfId="0" applyFont="1" applyAlignment="1" applyProtection="1">
      <alignment horizontal="left"/>
      <protection/>
    </xf>
    <xf numFmtId="0" fontId="17" fillId="0" borderId="0" xfId="0" applyFont="1" applyAlignment="1" applyProtection="1">
      <alignment horizontal="justify"/>
      <protection/>
    </xf>
    <xf numFmtId="0" fontId="17" fillId="0" borderId="0" xfId="0" applyFont="1" applyAlignment="1" applyProtection="1">
      <alignment horizontal="center"/>
      <protection/>
    </xf>
    <xf numFmtId="0" fontId="9" fillId="0" borderId="0" xfId="0" applyFont="1" applyAlignment="1" applyProtection="1">
      <alignment/>
      <protection/>
    </xf>
    <xf numFmtId="1" fontId="0" fillId="0" borderId="25" xfId="60" applyNumberFormat="1" applyFont="1" applyFill="1" applyBorder="1" applyAlignment="1" applyProtection="1">
      <alignment wrapText="1"/>
      <protection/>
    </xf>
    <xf numFmtId="1" fontId="0" fillId="0" borderId="25" xfId="0" applyNumberFormat="1" applyFont="1" applyFill="1" applyBorder="1" applyAlignment="1" applyProtection="1">
      <alignment wrapText="1"/>
      <protection/>
    </xf>
    <xf numFmtId="43" fontId="0" fillId="0" borderId="41" xfId="42" applyFont="1" applyFill="1" applyBorder="1" applyAlignment="1" applyProtection="1">
      <alignment/>
      <protection/>
    </xf>
    <xf numFmtId="1" fontId="0" fillId="0" borderId="0" xfId="0" applyNumberFormat="1" applyFont="1" applyFill="1" applyBorder="1" applyAlignment="1" applyProtection="1">
      <alignment/>
      <protection/>
    </xf>
    <xf numFmtId="0" fontId="2" fillId="0" borderId="0" xfId="0" applyFont="1" applyFill="1" applyBorder="1" applyAlignment="1">
      <alignment/>
    </xf>
    <xf numFmtId="165" fontId="95" fillId="0" borderId="27" xfId="42" applyNumberFormat="1" applyFont="1" applyFill="1" applyBorder="1" applyAlignment="1" applyProtection="1">
      <alignment horizontal="center"/>
      <protection locked="0"/>
    </xf>
    <xf numFmtId="43" fontId="95" fillId="0" borderId="27" xfId="42" applyNumberFormat="1" applyFont="1" applyFill="1" applyBorder="1" applyAlignment="1" applyProtection="1">
      <alignment horizontal="center"/>
      <protection locked="0"/>
    </xf>
    <xf numFmtId="43" fontId="0" fillId="0" borderId="29" xfId="42" applyFont="1" applyFill="1" applyBorder="1" applyAlignment="1" applyProtection="1">
      <alignment horizontal="center"/>
      <protection/>
    </xf>
    <xf numFmtId="43" fontId="0" fillId="0" borderId="30" xfId="42" applyFont="1" applyFill="1" applyBorder="1" applyAlignment="1" applyProtection="1">
      <alignment horizontal="center" wrapText="1"/>
      <protection/>
    </xf>
    <xf numFmtId="43" fontId="0" fillId="0" borderId="33" xfId="42" applyFont="1" applyFill="1" applyBorder="1" applyAlignment="1" applyProtection="1">
      <alignment wrapText="1"/>
      <protection/>
    </xf>
    <xf numFmtId="10" fontId="11" fillId="0" borderId="23" xfId="60" applyNumberFormat="1" applyFont="1" applyFill="1" applyBorder="1" applyAlignment="1" applyProtection="1">
      <alignment/>
      <protection/>
    </xf>
    <xf numFmtId="10" fontId="11" fillId="0" borderId="0" xfId="60" applyNumberFormat="1" applyFont="1" applyFill="1" applyBorder="1" applyAlignment="1" applyProtection="1">
      <alignment/>
      <protection/>
    </xf>
    <xf numFmtId="10" fontId="11" fillId="0" borderId="10" xfId="60" applyNumberFormat="1" applyFont="1" applyFill="1" applyBorder="1" applyAlignment="1" applyProtection="1">
      <alignment/>
      <protection/>
    </xf>
    <xf numFmtId="10" fontId="0" fillId="0" borderId="0" xfId="60" applyNumberFormat="1" applyFont="1" applyFill="1" applyBorder="1" applyAlignment="1" applyProtection="1">
      <alignment wrapText="1"/>
      <protection/>
    </xf>
    <xf numFmtId="10" fontId="0" fillId="0" borderId="0" xfId="60" applyNumberFormat="1" applyFont="1" applyFill="1" applyBorder="1" applyAlignment="1" applyProtection="1">
      <alignment wrapText="1"/>
      <protection/>
    </xf>
    <xf numFmtId="10" fontId="0" fillId="0" borderId="0" xfId="60" applyNumberFormat="1" applyFont="1" applyFill="1" applyAlignment="1" applyProtection="1">
      <alignment wrapText="1"/>
      <protection/>
    </xf>
    <xf numFmtId="10" fontId="2" fillId="0" borderId="0" xfId="0" applyNumberFormat="1" applyFont="1" applyFill="1" applyBorder="1" applyAlignment="1" applyProtection="1">
      <alignment wrapText="1"/>
      <protection/>
    </xf>
    <xf numFmtId="10" fontId="0" fillId="0" borderId="0" xfId="0" applyNumberFormat="1" applyFont="1" applyFill="1" applyBorder="1" applyAlignment="1" applyProtection="1">
      <alignment horizontal="left" wrapText="1"/>
      <protection/>
    </xf>
    <xf numFmtId="10" fontId="0" fillId="0" borderId="0" xfId="0" applyNumberFormat="1" applyFill="1" applyBorder="1" applyAlignment="1" applyProtection="1">
      <alignment/>
      <protection/>
    </xf>
    <xf numFmtId="10" fontId="0" fillId="0" borderId="0" xfId="0" applyNumberFormat="1" applyFont="1" applyFill="1" applyBorder="1" applyAlignment="1" applyProtection="1">
      <alignment wrapText="1"/>
      <protection/>
    </xf>
    <xf numFmtId="10" fontId="2" fillId="0" borderId="0" xfId="0" applyNumberFormat="1" applyFont="1" applyFill="1" applyBorder="1" applyAlignment="1" applyProtection="1">
      <alignment wrapText="1"/>
      <protection/>
    </xf>
    <xf numFmtId="10" fontId="2" fillId="0" borderId="0" xfId="0" applyNumberFormat="1" applyFont="1" applyFill="1" applyAlignment="1" applyProtection="1">
      <alignment horizontal="left" wrapText="1"/>
      <protection/>
    </xf>
    <xf numFmtId="10" fontId="0" fillId="0" borderId="0" xfId="0" applyNumberFormat="1" applyFont="1" applyFill="1" applyAlignment="1" applyProtection="1">
      <alignment wrapText="1"/>
      <protection/>
    </xf>
    <xf numFmtId="10" fontId="0" fillId="0" borderId="0" xfId="0" applyNumberFormat="1" applyFont="1" applyFill="1" applyAlignment="1" applyProtection="1">
      <alignment wrapText="1"/>
      <protection/>
    </xf>
    <xf numFmtId="10" fontId="11" fillId="0" borderId="23" xfId="42" applyNumberFormat="1" applyFont="1" applyFill="1" applyBorder="1" applyAlignment="1" applyProtection="1">
      <alignment/>
      <protection/>
    </xf>
    <xf numFmtId="10" fontId="11" fillId="0" borderId="0" xfId="42" applyNumberFormat="1" applyFont="1" applyFill="1" applyBorder="1" applyAlignment="1" applyProtection="1">
      <alignment/>
      <protection/>
    </xf>
    <xf numFmtId="10" fontId="11" fillId="0" borderId="10" xfId="42" applyNumberFormat="1" applyFont="1" applyFill="1" applyBorder="1" applyAlignment="1" applyProtection="1">
      <alignment/>
      <protection/>
    </xf>
    <xf numFmtId="10" fontId="0" fillId="0" borderId="0" xfId="42" applyNumberFormat="1" applyFont="1" applyFill="1" applyBorder="1" applyAlignment="1" applyProtection="1">
      <alignment wrapText="1"/>
      <protection/>
    </xf>
    <xf numFmtId="10" fontId="0" fillId="0" borderId="0" xfId="42" applyNumberFormat="1" applyFont="1" applyFill="1" applyBorder="1" applyAlignment="1" applyProtection="1">
      <alignment wrapText="1"/>
      <protection/>
    </xf>
    <xf numFmtId="10" fontId="2" fillId="0" borderId="0" xfId="0" applyNumberFormat="1" applyFont="1" applyFill="1" applyAlignment="1" applyProtection="1">
      <alignment horizontal="center" wrapText="1"/>
      <protection/>
    </xf>
    <xf numFmtId="10" fontId="0" fillId="0" borderId="0" xfId="0" applyNumberFormat="1" applyFont="1" applyFill="1" applyAlignment="1" applyProtection="1">
      <alignment/>
      <protection/>
    </xf>
    <xf numFmtId="1" fontId="96" fillId="0" borderId="29" xfId="0" applyNumberFormat="1" applyFont="1" applyFill="1" applyBorder="1" applyAlignment="1" applyProtection="1">
      <alignment horizontal="right" wrapText="1"/>
      <protection/>
    </xf>
    <xf numFmtId="0" fontId="0" fillId="0" borderId="0" xfId="0" applyBorder="1" applyAlignment="1">
      <alignment horizontal="center"/>
    </xf>
    <xf numFmtId="0" fontId="0" fillId="0" borderId="0" xfId="0" applyFont="1" applyBorder="1" applyAlignment="1">
      <alignment horizontal="center" wrapText="1"/>
    </xf>
    <xf numFmtId="43" fontId="0" fillId="0" borderId="0" xfId="42" applyFont="1" applyBorder="1" applyAlignment="1">
      <alignment/>
    </xf>
    <xf numFmtId="43" fontId="92" fillId="0" borderId="0" xfId="42" applyFont="1" applyBorder="1" applyAlignment="1">
      <alignment/>
    </xf>
    <xf numFmtId="10" fontId="0" fillId="0" borderId="29" xfId="42" applyNumberFormat="1" applyFont="1" applyBorder="1" applyAlignment="1">
      <alignment/>
    </xf>
    <xf numFmtId="43" fontId="95" fillId="0" borderId="29" xfId="42" applyFont="1" applyBorder="1" applyAlignment="1">
      <alignment/>
    </xf>
    <xf numFmtId="43" fontId="95" fillId="0" borderId="0" xfId="42" applyFont="1" applyBorder="1" applyAlignment="1">
      <alignment/>
    </xf>
    <xf numFmtId="0" fontId="95" fillId="0" borderId="0" xfId="0" applyFont="1" applyAlignment="1">
      <alignment/>
    </xf>
    <xf numFmtId="10" fontId="92" fillId="0" borderId="29" xfId="42" applyNumberFormat="1" applyFont="1" applyBorder="1" applyAlignment="1">
      <alignment/>
    </xf>
    <xf numFmtId="10" fontId="95" fillId="0" borderId="0" xfId="42" applyNumberFormat="1" applyFont="1" applyBorder="1" applyAlignment="1">
      <alignment/>
    </xf>
    <xf numFmtId="10" fontId="0" fillId="0" borderId="0" xfId="42" applyNumberFormat="1" applyFont="1" applyBorder="1" applyAlignment="1">
      <alignment/>
    </xf>
    <xf numFmtId="49" fontId="0" fillId="0" borderId="0" xfId="0" applyNumberFormat="1" applyFont="1" applyBorder="1" applyAlignment="1">
      <alignment/>
    </xf>
    <xf numFmtId="43" fontId="2" fillId="0" borderId="29" xfId="42" applyFont="1" applyBorder="1" applyAlignment="1">
      <alignment/>
    </xf>
    <xf numFmtId="0" fontId="0" fillId="0" borderId="32" xfId="0" applyFont="1" applyBorder="1" applyAlignment="1">
      <alignment horizontal="center" wrapText="1"/>
    </xf>
    <xf numFmtId="49" fontId="0" fillId="0" borderId="0" xfId="0" applyNumberFormat="1" applyAlignment="1">
      <alignment/>
    </xf>
    <xf numFmtId="4" fontId="0" fillId="0" borderId="32" xfId="0" applyNumberFormat="1" applyFont="1" applyFill="1" applyBorder="1" applyAlignment="1" applyProtection="1">
      <alignment horizontal="center" wrapText="1"/>
      <protection/>
    </xf>
    <xf numFmtId="1" fontId="0" fillId="0" borderId="0" xfId="0" applyNumberFormat="1" applyFill="1" applyAlignment="1" applyProtection="1">
      <alignment/>
      <protection/>
    </xf>
    <xf numFmtId="49" fontId="0" fillId="0" borderId="0" xfId="0" applyNumberFormat="1" applyFill="1" applyAlignment="1" applyProtection="1">
      <alignment/>
      <protection/>
    </xf>
    <xf numFmtId="1" fontId="0" fillId="0" borderId="26" xfId="60" applyNumberFormat="1" applyFont="1" applyFill="1" applyBorder="1" applyAlignment="1" applyProtection="1">
      <alignment/>
      <protection/>
    </xf>
    <xf numFmtId="1" fontId="2" fillId="0" borderId="42" xfId="0" applyNumberFormat="1" applyFont="1" applyFill="1" applyBorder="1" applyAlignment="1" applyProtection="1">
      <alignment wrapText="1"/>
      <protection/>
    </xf>
    <xf numFmtId="4" fontId="2" fillId="0" borderId="28" xfId="0" applyNumberFormat="1" applyFont="1" applyFill="1" applyBorder="1" applyAlignment="1" applyProtection="1">
      <alignment horizontal="center" wrapText="1"/>
      <protection/>
    </xf>
    <xf numFmtId="4" fontId="0" fillId="0" borderId="28" xfId="0" applyNumberFormat="1" applyFont="1" applyFill="1" applyBorder="1" applyAlignment="1" applyProtection="1">
      <alignment horizontal="center" wrapText="1"/>
      <protection/>
    </xf>
    <xf numFmtId="4" fontId="0" fillId="0" borderId="28" xfId="0" applyNumberFormat="1" applyFont="1" applyFill="1" applyBorder="1" applyAlignment="1" applyProtection="1">
      <alignment horizontal="center" wrapText="1"/>
      <protection locked="0"/>
    </xf>
    <xf numFmtId="1" fontId="0" fillId="0" borderId="32" xfId="0" applyNumberFormat="1" applyFont="1" applyFill="1" applyBorder="1" applyAlignment="1" applyProtection="1">
      <alignment horizontal="center" wrapText="1"/>
      <protection locked="0"/>
    </xf>
    <xf numFmtId="1" fontId="0" fillId="0" borderId="0" xfId="0" applyNumberFormat="1" applyFont="1" applyFill="1" applyAlignment="1" applyProtection="1">
      <alignment horizontal="center"/>
      <protection/>
    </xf>
    <xf numFmtId="4" fontId="2" fillId="0" borderId="0" xfId="0" applyNumberFormat="1" applyFont="1" applyFill="1" applyBorder="1" applyAlignment="1" applyProtection="1">
      <alignment horizontal="center" wrapText="1"/>
      <protection/>
    </xf>
    <xf numFmtId="4" fontId="0" fillId="0" borderId="0" xfId="0" applyNumberFormat="1" applyFont="1" applyFill="1" applyBorder="1" applyAlignment="1" applyProtection="1">
      <alignment horizontal="center" wrapText="1"/>
      <protection/>
    </xf>
    <xf numFmtId="4" fontId="0" fillId="0" borderId="0" xfId="0" applyNumberFormat="1" applyFont="1" applyFill="1" applyBorder="1" applyAlignment="1" applyProtection="1">
      <alignment horizontal="center" wrapText="1"/>
      <protection locked="0"/>
    </xf>
    <xf numFmtId="1" fontId="0" fillId="0" borderId="0" xfId="0" applyNumberFormat="1" applyFont="1" applyFill="1" applyBorder="1" applyAlignment="1" applyProtection="1">
      <alignment horizontal="center" wrapText="1"/>
      <protection/>
    </xf>
    <xf numFmtId="4" fontId="0" fillId="0" borderId="26" xfId="0" applyNumberFormat="1" applyFont="1" applyFill="1" applyBorder="1" applyAlignment="1" applyProtection="1">
      <alignment horizontal="center" wrapText="1"/>
      <protection/>
    </xf>
    <xf numFmtId="1" fontId="2" fillId="0" borderId="42" xfId="60" applyNumberFormat="1" applyFont="1" applyFill="1" applyBorder="1" applyAlignment="1" applyProtection="1">
      <alignment wrapText="1"/>
      <protection/>
    </xf>
    <xf numFmtId="1" fontId="2" fillId="0" borderId="31" xfId="60" applyNumberFormat="1" applyFont="1" applyFill="1" applyBorder="1" applyAlignment="1" applyProtection="1">
      <alignment wrapText="1"/>
      <protection/>
    </xf>
    <xf numFmtId="1" fontId="0" fillId="0" borderId="0" xfId="0" applyNumberFormat="1" applyFont="1" applyFill="1" applyAlignment="1" applyProtection="1">
      <alignment/>
      <protection/>
    </xf>
    <xf numFmtId="1" fontId="0" fillId="0" borderId="0" xfId="0" applyNumberFormat="1" applyFont="1" applyFill="1" applyAlignment="1" applyProtection="1">
      <alignment horizontal="right"/>
      <protection/>
    </xf>
    <xf numFmtId="1" fontId="0" fillId="0" borderId="26" xfId="0" applyNumberFormat="1" applyFont="1" applyFill="1" applyBorder="1" applyAlignment="1" applyProtection="1">
      <alignment wrapText="1"/>
      <protection/>
    </xf>
    <xf numFmtId="4" fontId="21" fillId="0" borderId="0" xfId="0" applyNumberFormat="1" applyFont="1" applyFill="1" applyBorder="1" applyAlignment="1" applyProtection="1">
      <alignment wrapText="1"/>
      <protection/>
    </xf>
    <xf numFmtId="4" fontId="21" fillId="0" borderId="0" xfId="0" applyNumberFormat="1" applyFont="1" applyFill="1" applyBorder="1" applyAlignment="1" applyProtection="1">
      <alignment wrapText="1"/>
      <protection locked="0"/>
    </xf>
    <xf numFmtId="4" fontId="21" fillId="0" borderId="29" xfId="0" applyNumberFormat="1" applyFont="1" applyFill="1" applyBorder="1" applyAlignment="1" applyProtection="1">
      <alignment horizontal="right" wrapText="1"/>
      <protection/>
    </xf>
    <xf numFmtId="9" fontId="21" fillId="0" borderId="29" xfId="60" applyFont="1" applyFill="1" applyBorder="1" applyAlignment="1" applyProtection="1">
      <alignment horizontal="right" wrapText="1"/>
      <protection/>
    </xf>
    <xf numFmtId="4" fontId="0" fillId="0" borderId="0" xfId="0" applyNumberFormat="1" applyFont="1" applyFill="1" applyAlignment="1" applyProtection="1">
      <alignment wrapText="1"/>
      <protection/>
    </xf>
    <xf numFmtId="4" fontId="0" fillId="0" borderId="0" xfId="0" applyNumberFormat="1" applyFont="1" applyFill="1" applyAlignment="1" applyProtection="1">
      <alignment wrapText="1"/>
      <protection locked="0"/>
    </xf>
    <xf numFmtId="4" fontId="0" fillId="0" borderId="26" xfId="0" applyNumberFormat="1" applyFont="1" applyFill="1" applyBorder="1" applyAlignment="1" applyProtection="1">
      <alignment wrapText="1"/>
      <protection/>
    </xf>
    <xf numFmtId="4" fontId="0" fillId="0" borderId="0" xfId="0" applyNumberFormat="1" applyFont="1" applyFill="1" applyAlignment="1" applyProtection="1">
      <alignment wrapText="1"/>
      <protection/>
    </xf>
    <xf numFmtId="4" fontId="0" fillId="0" borderId="0" xfId="0" applyNumberFormat="1" applyFont="1" applyFill="1" applyAlignment="1" applyProtection="1">
      <alignment wrapText="1"/>
      <protection locked="0"/>
    </xf>
    <xf numFmtId="1" fontId="0" fillId="0" borderId="0" xfId="0" applyNumberFormat="1" applyFill="1" applyAlignment="1" applyProtection="1">
      <alignment horizontal="right"/>
      <protection/>
    </xf>
    <xf numFmtId="1" fontId="0" fillId="0" borderId="0" xfId="0" applyNumberFormat="1" applyFill="1" applyAlignment="1" applyProtection="1">
      <alignment horizontal="right" wrapText="1"/>
      <protection/>
    </xf>
    <xf numFmtId="4" fontId="0" fillId="0" borderId="0" xfId="0" applyNumberFormat="1" applyFill="1" applyAlignment="1" applyProtection="1">
      <alignment wrapText="1"/>
      <protection/>
    </xf>
    <xf numFmtId="4" fontId="0" fillId="0" borderId="0" xfId="0" applyNumberFormat="1" applyFill="1" applyAlignment="1" applyProtection="1">
      <alignment wrapText="1"/>
      <protection locked="0"/>
    </xf>
    <xf numFmtId="1" fontId="0" fillId="0" borderId="0" xfId="0" applyNumberFormat="1" applyFill="1" applyAlignment="1" applyProtection="1">
      <alignment wrapText="1"/>
      <protection/>
    </xf>
    <xf numFmtId="4" fontId="2" fillId="0" borderId="0" xfId="0" applyNumberFormat="1" applyFont="1" applyFill="1" applyAlignment="1" applyProtection="1">
      <alignment horizontal="center" wrapText="1"/>
      <protection/>
    </xf>
    <xf numFmtId="1" fontId="0" fillId="33" borderId="0" xfId="0" applyNumberFormat="1" applyFill="1" applyAlignment="1" applyProtection="1">
      <alignment/>
      <protection/>
    </xf>
    <xf numFmtId="1" fontId="0" fillId="33" borderId="0" xfId="0" applyNumberFormat="1" applyFont="1" applyFill="1" applyAlignment="1" applyProtection="1">
      <alignment horizontal="center"/>
      <protection/>
    </xf>
    <xf numFmtId="1" fontId="0" fillId="33" borderId="0" xfId="0" applyNumberFormat="1" applyFont="1" applyFill="1" applyAlignment="1" applyProtection="1">
      <alignment/>
      <protection/>
    </xf>
    <xf numFmtId="1" fontId="0" fillId="33" borderId="0" xfId="0" applyNumberFormat="1" applyFont="1" applyFill="1" applyAlignment="1" applyProtection="1">
      <alignment/>
      <protection/>
    </xf>
    <xf numFmtId="1" fontId="18" fillId="0" borderId="42" xfId="0" applyNumberFormat="1" applyFont="1" applyFill="1" applyBorder="1" applyAlignment="1" applyProtection="1">
      <alignment/>
      <protection/>
    </xf>
    <xf numFmtId="1" fontId="18" fillId="0" borderId="31" xfId="0" applyNumberFormat="1" applyFont="1" applyFill="1" applyBorder="1" applyAlignment="1" applyProtection="1">
      <alignment/>
      <protection/>
    </xf>
    <xf numFmtId="1" fontId="0" fillId="0" borderId="23" xfId="0" applyNumberFormat="1" applyFont="1" applyFill="1" applyBorder="1" applyAlignment="1" applyProtection="1">
      <alignment horizontal="right"/>
      <protection/>
    </xf>
    <xf numFmtId="1" fontId="2" fillId="0" borderId="23" xfId="0" applyNumberFormat="1" applyFont="1" applyFill="1" applyBorder="1" applyAlignment="1" applyProtection="1">
      <alignment horizontal="left" wrapText="1"/>
      <protection/>
    </xf>
    <xf numFmtId="1" fontId="0" fillId="33" borderId="32" xfId="0" applyNumberFormat="1" applyFont="1" applyFill="1" applyBorder="1" applyAlignment="1" applyProtection="1">
      <alignment horizontal="right"/>
      <protection/>
    </xf>
    <xf numFmtId="1" fontId="2" fillId="0" borderId="32" xfId="0" applyNumberFormat="1" applyFont="1" applyFill="1" applyBorder="1" applyAlignment="1" applyProtection="1">
      <alignment horizontal="center" wrapText="1"/>
      <protection/>
    </xf>
    <xf numFmtId="1" fontId="2" fillId="0" borderId="25" xfId="0" applyNumberFormat="1" applyFont="1" applyFill="1" applyBorder="1" applyAlignment="1" applyProtection="1">
      <alignment horizontal="center" wrapText="1"/>
      <protection/>
    </xf>
    <xf numFmtId="1" fontId="2" fillId="0" borderId="30" xfId="0" applyNumberFormat="1" applyFont="1" applyFill="1" applyBorder="1" applyAlignment="1" applyProtection="1">
      <alignment wrapText="1"/>
      <protection/>
    </xf>
    <xf numFmtId="1" fontId="0" fillId="0" borderId="30" xfId="0" applyNumberFormat="1" applyFont="1" applyFill="1" applyBorder="1" applyAlignment="1" applyProtection="1">
      <alignment horizontal="right" wrapText="1"/>
      <protection locked="0"/>
    </xf>
    <xf numFmtId="1" fontId="0" fillId="0" borderId="30" xfId="0" applyNumberFormat="1" applyFont="1" applyFill="1" applyBorder="1" applyAlignment="1" applyProtection="1">
      <alignment horizontal="right" wrapText="1"/>
      <protection/>
    </xf>
    <xf numFmtId="1" fontId="0" fillId="0" borderId="29" xfId="0" applyNumberFormat="1" applyFont="1" applyFill="1" applyBorder="1" applyAlignment="1" applyProtection="1">
      <alignment horizontal="right" wrapText="1"/>
      <protection/>
    </xf>
    <xf numFmtId="1" fontId="0" fillId="0" borderId="25" xfId="0" applyNumberFormat="1" applyFont="1" applyFill="1" applyBorder="1" applyAlignment="1" applyProtection="1">
      <alignment horizontal="right"/>
      <protection/>
    </xf>
    <xf numFmtId="1" fontId="0" fillId="0" borderId="25" xfId="0" applyNumberFormat="1" applyFont="1" applyFill="1" applyBorder="1" applyAlignment="1" applyProtection="1">
      <alignment horizontal="right" wrapText="1"/>
      <protection/>
    </xf>
    <xf numFmtId="1" fontId="0" fillId="0" borderId="25" xfId="0" applyNumberFormat="1" applyFont="1" applyFill="1" applyBorder="1" applyAlignment="1" applyProtection="1">
      <alignment horizontal="right" wrapText="1"/>
      <protection locked="0"/>
    </xf>
    <xf numFmtId="1" fontId="0" fillId="0" borderId="30" xfId="0" applyNumberFormat="1" applyFont="1" applyFill="1" applyBorder="1" applyAlignment="1" applyProtection="1">
      <alignment horizontal="right" wrapText="1"/>
      <protection locked="0"/>
    </xf>
    <xf numFmtId="1" fontId="0" fillId="0" borderId="25" xfId="0" applyNumberFormat="1" applyFont="1" applyFill="1" applyBorder="1" applyAlignment="1" applyProtection="1">
      <alignment horizontal="right" wrapText="1"/>
      <protection/>
    </xf>
    <xf numFmtId="1" fontId="2" fillId="0" borderId="25" xfId="0" applyNumberFormat="1" applyFont="1" applyFill="1" applyBorder="1" applyAlignment="1" applyProtection="1">
      <alignment horizontal="left"/>
      <protection/>
    </xf>
    <xf numFmtId="1" fontId="0" fillId="0" borderId="25" xfId="0" applyNumberFormat="1" applyFont="1" applyFill="1" applyBorder="1" applyAlignment="1" applyProtection="1">
      <alignment horizontal="right"/>
      <protection locked="0"/>
    </xf>
    <xf numFmtId="1" fontId="0" fillId="0" borderId="25" xfId="0" applyNumberFormat="1" applyFont="1" applyFill="1" applyBorder="1" applyAlignment="1" applyProtection="1">
      <alignment horizontal="right"/>
      <protection/>
    </xf>
    <xf numFmtId="1" fontId="0" fillId="0" borderId="32" xfId="0" applyNumberFormat="1" applyFont="1" applyFill="1" applyBorder="1" applyAlignment="1" applyProtection="1">
      <alignment horizontal="right" wrapText="1"/>
      <protection/>
    </xf>
    <xf numFmtId="1" fontId="2" fillId="0" borderId="29" xfId="0" applyNumberFormat="1" applyFont="1" applyFill="1" applyBorder="1" applyAlignment="1" applyProtection="1">
      <alignment horizontal="left" wrapText="1"/>
      <protection/>
    </xf>
    <xf numFmtId="1" fontId="0" fillId="0" borderId="25" xfId="0" applyNumberFormat="1" applyFont="1" applyFill="1" applyBorder="1" applyAlignment="1" applyProtection="1">
      <alignment horizontal="right" wrapText="1"/>
      <protection locked="0"/>
    </xf>
    <xf numFmtId="0" fontId="0" fillId="0" borderId="25" xfId="0" applyFill="1" applyBorder="1" applyAlignment="1" applyProtection="1">
      <alignment horizontal="right"/>
      <protection locked="0"/>
    </xf>
    <xf numFmtId="1" fontId="0" fillId="0" borderId="25" xfId="0" applyNumberFormat="1" applyFont="1" applyFill="1" applyBorder="1" applyAlignment="1" applyProtection="1">
      <alignment wrapText="1"/>
      <protection locked="0"/>
    </xf>
    <xf numFmtId="1" fontId="2" fillId="0" borderId="32" xfId="0" applyNumberFormat="1" applyFont="1" applyFill="1" applyBorder="1" applyAlignment="1" applyProtection="1">
      <alignment wrapText="1"/>
      <protection/>
    </xf>
    <xf numFmtId="1" fontId="2" fillId="0" borderId="30" xfId="0" applyNumberFormat="1" applyFont="1" applyFill="1" applyBorder="1" applyAlignment="1" applyProtection="1">
      <alignment horizontal="right" wrapText="1"/>
      <protection locked="0"/>
    </xf>
    <xf numFmtId="1" fontId="0" fillId="0" borderId="30" xfId="0" applyNumberFormat="1" applyFont="1" applyFill="1" applyBorder="1" applyAlignment="1" applyProtection="1">
      <alignment horizontal="right" wrapText="1"/>
      <protection/>
    </xf>
    <xf numFmtId="1" fontId="0" fillId="0" borderId="29" xfId="0" applyNumberFormat="1" applyFont="1" applyFill="1" applyBorder="1" applyAlignment="1" applyProtection="1">
      <alignment horizontal="right" wrapText="1"/>
      <protection/>
    </xf>
    <xf numFmtId="1" fontId="0" fillId="0" borderId="30" xfId="0" applyNumberFormat="1" applyFont="1" applyFill="1" applyBorder="1" applyAlignment="1" applyProtection="1">
      <alignment horizontal="right" wrapText="1"/>
      <protection/>
    </xf>
    <xf numFmtId="1" fontId="0" fillId="0" borderId="30" xfId="0" applyNumberFormat="1" applyFont="1" applyFill="1" applyBorder="1" applyAlignment="1" applyProtection="1">
      <alignment horizontal="right" wrapText="1"/>
      <protection locked="0"/>
    </xf>
    <xf numFmtId="1" fontId="0" fillId="0" borderId="30" xfId="0" applyNumberFormat="1" applyFont="1" applyFill="1" applyBorder="1" applyAlignment="1" applyProtection="1">
      <alignment wrapText="1"/>
      <protection locked="0"/>
    </xf>
    <xf numFmtId="1" fontId="0" fillId="0" borderId="30" xfId="0" applyNumberFormat="1" applyFont="1" applyFill="1" applyBorder="1" applyAlignment="1" applyProtection="1">
      <alignment wrapText="1"/>
      <protection/>
    </xf>
    <xf numFmtId="1" fontId="0" fillId="0" borderId="30" xfId="0" applyNumberFormat="1" applyFont="1" applyFill="1" applyBorder="1" applyAlignment="1" applyProtection="1">
      <alignment wrapText="1"/>
      <protection/>
    </xf>
    <xf numFmtId="1" fontId="2" fillId="0" borderId="33" xfId="0" applyNumberFormat="1" applyFont="1" applyFill="1" applyBorder="1" applyAlignment="1" applyProtection="1">
      <alignment wrapText="1"/>
      <protection/>
    </xf>
    <xf numFmtId="1" fontId="0" fillId="0" borderId="32" xfId="0" applyNumberFormat="1" applyFont="1" applyFill="1" applyBorder="1" applyAlignment="1" applyProtection="1">
      <alignment wrapText="1"/>
      <protection/>
    </xf>
    <xf numFmtId="4" fontId="0" fillId="0" borderId="0" xfId="0" applyNumberFormat="1" applyFont="1" applyFill="1" applyBorder="1" applyAlignment="1" applyProtection="1">
      <alignment wrapText="1"/>
      <protection/>
    </xf>
    <xf numFmtId="4" fontId="0" fillId="0" borderId="0" xfId="0" applyNumberFormat="1" applyFont="1" applyFill="1" applyBorder="1" applyAlignment="1" applyProtection="1">
      <alignment wrapText="1"/>
      <protection/>
    </xf>
    <xf numFmtId="49" fontId="7" fillId="0" borderId="29" xfId="0" applyNumberFormat="1" applyFont="1" applyFill="1" applyBorder="1" applyAlignment="1" applyProtection="1">
      <alignment horizontal="center" wrapText="1"/>
      <protection locked="0"/>
    </xf>
    <xf numFmtId="4" fontId="0" fillId="0" borderId="27" xfId="0" applyNumberFormat="1" applyFont="1" applyFill="1" applyBorder="1" applyAlignment="1" applyProtection="1">
      <alignment wrapText="1"/>
      <protection/>
    </xf>
    <xf numFmtId="1" fontId="0" fillId="0" borderId="22" xfId="0" applyNumberFormat="1" applyFont="1" applyFill="1" applyBorder="1" applyAlignment="1" applyProtection="1">
      <alignment horizontal="right"/>
      <protection/>
    </xf>
    <xf numFmtId="1" fontId="97" fillId="0" borderId="25" xfId="0" applyNumberFormat="1" applyFont="1" applyFill="1" applyBorder="1" applyAlignment="1" applyProtection="1">
      <alignment horizontal="right"/>
      <protection/>
    </xf>
    <xf numFmtId="1" fontId="0" fillId="0" borderId="0" xfId="0" applyNumberFormat="1" applyFill="1" applyBorder="1" applyAlignment="1" applyProtection="1">
      <alignment horizontal="right"/>
      <protection/>
    </xf>
    <xf numFmtId="1" fontId="0" fillId="0" borderId="30" xfId="0" applyNumberFormat="1" applyFill="1" applyBorder="1" applyAlignment="1" applyProtection="1">
      <alignment wrapText="1"/>
      <protection/>
    </xf>
    <xf numFmtId="1" fontId="0" fillId="0" borderId="33" xfId="0" applyNumberFormat="1" applyFill="1" applyBorder="1" applyAlignment="1" applyProtection="1">
      <alignment wrapText="1"/>
      <protection/>
    </xf>
    <xf numFmtId="1" fontId="5" fillId="0" borderId="30" xfId="0" applyNumberFormat="1" applyFont="1" applyFill="1" applyBorder="1" applyAlignment="1" applyProtection="1">
      <alignment/>
      <protection/>
    </xf>
    <xf numFmtId="1" fontId="5" fillId="0" borderId="30" xfId="0" applyNumberFormat="1" applyFont="1" applyFill="1" applyBorder="1" applyAlignment="1" applyProtection="1">
      <alignment horizontal="left"/>
      <protection/>
    </xf>
    <xf numFmtId="1" fontId="2" fillId="0" borderId="30" xfId="0" applyNumberFormat="1" applyFont="1" applyFill="1" applyBorder="1" applyAlignment="1" applyProtection="1">
      <alignment horizontal="center" wrapText="1"/>
      <protection/>
    </xf>
    <xf numFmtId="2" fontId="2" fillId="0" borderId="41" xfId="0" applyNumberFormat="1" applyFont="1" applyFill="1" applyBorder="1" applyAlignment="1" applyProtection="1">
      <alignment/>
      <protection/>
    </xf>
    <xf numFmtId="1" fontId="2" fillId="0" borderId="42" xfId="0" applyNumberFormat="1" applyFont="1" applyFill="1" applyBorder="1" applyAlignment="1" applyProtection="1">
      <alignment/>
      <protection/>
    </xf>
    <xf numFmtId="10" fontId="2" fillId="0" borderId="42" xfId="60" applyNumberFormat="1" applyFont="1" applyFill="1" applyBorder="1" applyAlignment="1" applyProtection="1">
      <alignment/>
      <protection/>
    </xf>
    <xf numFmtId="1" fontId="0" fillId="0" borderId="30" xfId="0" applyNumberFormat="1" applyFont="1" applyFill="1" applyBorder="1" applyAlignment="1" applyProtection="1">
      <alignment horizontal="center" wrapText="1"/>
      <protection/>
    </xf>
    <xf numFmtId="1" fontId="0" fillId="0" borderId="0" xfId="0" applyNumberFormat="1" applyFont="1" applyFill="1" applyAlignment="1" applyProtection="1">
      <alignment horizontal="center"/>
      <protection/>
    </xf>
    <xf numFmtId="1" fontId="0" fillId="0" borderId="30" xfId="0" applyNumberFormat="1" applyFont="1" applyFill="1" applyBorder="1" applyAlignment="1" applyProtection="1">
      <alignment horizontal="center" wrapText="1"/>
      <protection/>
    </xf>
    <xf numFmtId="2" fontId="0" fillId="0" borderId="41" xfId="0" applyNumberFormat="1" applyFont="1" applyFill="1" applyBorder="1" applyAlignment="1" applyProtection="1">
      <alignment horizontal="center"/>
      <protection/>
    </xf>
    <xf numFmtId="1" fontId="0" fillId="0" borderId="42" xfId="60" applyNumberFormat="1" applyFont="1" applyFill="1" applyBorder="1" applyAlignment="1" applyProtection="1">
      <alignment horizontal="center"/>
      <protection/>
    </xf>
    <xf numFmtId="10" fontId="0" fillId="0" borderId="31" xfId="60" applyNumberFormat="1" applyFont="1" applyFill="1" applyBorder="1" applyAlignment="1" applyProtection="1">
      <alignment horizontal="center"/>
      <protection/>
    </xf>
    <xf numFmtId="1" fontId="0" fillId="0" borderId="41" xfId="0" applyNumberFormat="1" applyFont="1" applyFill="1" applyBorder="1" applyAlignment="1" applyProtection="1">
      <alignment horizontal="center" wrapText="1"/>
      <protection/>
    </xf>
    <xf numFmtId="1" fontId="0" fillId="0" borderId="42" xfId="0" applyNumberFormat="1" applyFont="1" applyFill="1" applyBorder="1" applyAlignment="1" applyProtection="1">
      <alignment horizontal="center" wrapText="1"/>
      <protection/>
    </xf>
    <xf numFmtId="4" fontId="0" fillId="0" borderId="24" xfId="42" applyNumberFormat="1" applyFont="1" applyFill="1" applyBorder="1" applyAlignment="1" applyProtection="1">
      <alignment horizontal="center"/>
      <protection locked="0"/>
    </xf>
    <xf numFmtId="10" fontId="0" fillId="0" borderId="25" xfId="60" applyNumberFormat="1" applyFont="1" applyFill="1" applyBorder="1" applyAlignment="1" applyProtection="1" quotePrefix="1">
      <alignment wrapText="1"/>
      <protection/>
    </xf>
    <xf numFmtId="1" fontId="0" fillId="0" borderId="30" xfId="60" applyNumberFormat="1" applyFont="1" applyFill="1" applyBorder="1" applyAlignment="1" applyProtection="1">
      <alignment wrapText="1"/>
      <protection/>
    </xf>
    <xf numFmtId="2" fontId="11" fillId="0" borderId="23" xfId="42" applyNumberFormat="1" applyFont="1" applyFill="1" applyBorder="1" applyAlignment="1" applyProtection="1">
      <alignment/>
      <protection/>
    </xf>
    <xf numFmtId="10" fontId="0" fillId="0" borderId="30" xfId="60" applyNumberFormat="1" applyFont="1" applyFill="1" applyBorder="1" applyAlignment="1" applyProtection="1" quotePrefix="1">
      <alignment wrapText="1"/>
      <protection/>
    </xf>
    <xf numFmtId="1" fontId="0" fillId="0" borderId="30" xfId="0" applyNumberFormat="1" applyFont="1" applyFill="1" applyBorder="1" applyAlignment="1" applyProtection="1">
      <alignment/>
      <protection/>
    </xf>
    <xf numFmtId="4" fontId="0" fillId="0" borderId="32" xfId="42" applyNumberFormat="1" applyFont="1" applyFill="1" applyBorder="1" applyAlignment="1" applyProtection="1">
      <alignment horizontal="center"/>
      <protection locked="0"/>
    </xf>
    <xf numFmtId="3" fontId="0" fillId="0" borderId="32" xfId="0" applyNumberFormat="1" applyFont="1" applyFill="1" applyBorder="1" applyAlignment="1" applyProtection="1">
      <alignment horizontal="center" wrapText="1"/>
      <protection/>
    </xf>
    <xf numFmtId="10" fontId="0" fillId="0" borderId="32" xfId="60" applyNumberFormat="1" applyFont="1" applyFill="1" applyBorder="1" applyAlignment="1" applyProtection="1">
      <alignment wrapText="1"/>
      <protection/>
    </xf>
    <xf numFmtId="4" fontId="0" fillId="0" borderId="29" xfId="42" applyNumberFormat="1" applyFont="1" applyFill="1" applyBorder="1" applyAlignment="1" applyProtection="1">
      <alignment horizontal="center"/>
      <protection/>
    </xf>
    <xf numFmtId="10" fontId="0" fillId="0" borderId="28" xfId="60" applyNumberFormat="1" applyFont="1" applyFill="1" applyBorder="1" applyAlignment="1" applyProtection="1">
      <alignment wrapText="1"/>
      <protection/>
    </xf>
    <xf numFmtId="10" fontId="0" fillId="0" borderId="32" xfId="60" applyNumberFormat="1" applyFont="1" applyFill="1" applyBorder="1" applyAlignment="1" applyProtection="1" quotePrefix="1">
      <alignment/>
      <protection/>
    </xf>
    <xf numFmtId="10" fontId="0" fillId="0" borderId="27" xfId="60" applyNumberFormat="1" applyFont="1" applyFill="1" applyBorder="1" applyAlignment="1" applyProtection="1" quotePrefix="1">
      <alignment/>
      <protection/>
    </xf>
    <xf numFmtId="2" fontId="0" fillId="0" borderId="41" xfId="0" applyNumberFormat="1" applyFont="1" applyFill="1" applyBorder="1" applyAlignment="1" applyProtection="1">
      <alignment/>
      <protection/>
    </xf>
    <xf numFmtId="10" fontId="0" fillId="0" borderId="42" xfId="60" applyNumberFormat="1" applyFont="1" applyFill="1" applyBorder="1" applyAlignment="1" applyProtection="1">
      <alignment/>
      <protection/>
    </xf>
    <xf numFmtId="10" fontId="0" fillId="0" borderId="31" xfId="60" applyNumberFormat="1" applyFont="1" applyFill="1" applyBorder="1" applyAlignment="1" applyProtection="1">
      <alignment/>
      <protection/>
    </xf>
    <xf numFmtId="1" fontId="0" fillId="0" borderId="0" xfId="0" applyNumberFormat="1" applyFont="1" applyFill="1" applyBorder="1" applyAlignment="1" applyProtection="1">
      <alignment horizontal="left" vertical="top" wrapText="1"/>
      <protection/>
    </xf>
    <xf numFmtId="4" fontId="0" fillId="0" borderId="33" xfId="42" applyNumberFormat="1" applyFont="1" applyFill="1" applyBorder="1" applyAlignment="1" applyProtection="1">
      <alignment horizontal="center"/>
      <protection locked="0"/>
    </xf>
    <xf numFmtId="10" fontId="0" fillId="0" borderId="33" xfId="0" applyNumberFormat="1" applyFont="1" applyFill="1" applyBorder="1" applyAlignment="1" applyProtection="1">
      <alignment/>
      <protection/>
    </xf>
    <xf numFmtId="4" fontId="0" fillId="0" borderId="30" xfId="42" applyNumberFormat="1" applyFont="1" applyFill="1" applyBorder="1" applyAlignment="1" applyProtection="1">
      <alignment horizontal="center"/>
      <protection locked="0"/>
    </xf>
    <xf numFmtId="10" fontId="0" fillId="0" borderId="32" xfId="60" applyNumberFormat="1" applyFont="1" applyFill="1" applyBorder="1" applyAlignment="1" applyProtection="1" quotePrefix="1">
      <alignment wrapText="1"/>
      <protection/>
    </xf>
    <xf numFmtId="4" fontId="0" fillId="0" borderId="0" xfId="42" applyNumberFormat="1" applyFont="1" applyFill="1" applyBorder="1" applyAlignment="1" applyProtection="1">
      <alignment horizontal="center"/>
      <protection locked="0"/>
    </xf>
    <xf numFmtId="10" fontId="0" fillId="0" borderId="30" xfId="0" applyNumberFormat="1" applyFont="1" applyFill="1" applyBorder="1" applyAlignment="1" applyProtection="1">
      <alignment/>
      <protection/>
    </xf>
    <xf numFmtId="4" fontId="0" fillId="0" borderId="27" xfId="42" applyNumberFormat="1" applyFont="1" applyFill="1" applyBorder="1" applyAlignment="1" applyProtection="1">
      <alignment horizontal="center"/>
      <protection locked="0"/>
    </xf>
    <xf numFmtId="10" fontId="0" fillId="0" borderId="10" xfId="60" applyNumberFormat="1" applyFont="1" applyFill="1" applyBorder="1" applyAlignment="1" applyProtection="1">
      <alignment wrapText="1"/>
      <protection/>
    </xf>
    <xf numFmtId="1" fontId="0" fillId="0" borderId="42" xfId="0" applyNumberFormat="1" applyFont="1" applyFill="1" applyBorder="1" applyAlignment="1" applyProtection="1">
      <alignment horizontal="left" vertical="top" wrapText="1"/>
      <protection/>
    </xf>
    <xf numFmtId="10" fontId="0" fillId="0" borderId="25" xfId="0" applyNumberFormat="1" applyFont="1" applyFill="1" applyBorder="1" applyAlignment="1" applyProtection="1">
      <alignment wrapText="1"/>
      <protection/>
    </xf>
    <xf numFmtId="10" fontId="0" fillId="0" borderId="25" xfId="0" applyNumberFormat="1" applyFont="1" applyFill="1" applyBorder="1" applyAlignment="1" applyProtection="1">
      <alignment wrapText="1"/>
      <protection/>
    </xf>
    <xf numFmtId="2" fontId="0" fillId="0" borderId="42" xfId="42" applyNumberFormat="1" applyFont="1" applyFill="1" applyBorder="1" applyAlignment="1" applyProtection="1">
      <alignment/>
      <protection/>
    </xf>
    <xf numFmtId="1" fontId="0" fillId="0" borderId="42" xfId="60" applyNumberFormat="1" applyFont="1" applyFill="1" applyBorder="1" applyAlignment="1" applyProtection="1">
      <alignment/>
      <protection/>
    </xf>
    <xf numFmtId="10" fontId="0" fillId="0" borderId="29" xfId="60" applyNumberFormat="1" applyFont="1" applyFill="1" applyBorder="1" applyAlignment="1" applyProtection="1">
      <alignment/>
      <protection/>
    </xf>
    <xf numFmtId="2" fontId="0" fillId="0" borderId="0" xfId="42" applyNumberFormat="1" applyFont="1" applyFill="1" applyAlignment="1" applyProtection="1">
      <alignment/>
      <protection/>
    </xf>
    <xf numFmtId="165" fontId="0" fillId="0" borderId="0" xfId="42" applyNumberFormat="1" applyFont="1" applyFill="1" applyAlignment="1" applyProtection="1">
      <alignment/>
      <protection/>
    </xf>
    <xf numFmtId="10" fontId="0" fillId="0" borderId="0" xfId="60" applyNumberFormat="1" applyFont="1" applyFill="1" applyAlignment="1" applyProtection="1">
      <alignment/>
      <protection/>
    </xf>
    <xf numFmtId="10" fontId="0" fillId="0" borderId="25" xfId="60" applyNumberFormat="1" applyFont="1" applyFill="1" applyBorder="1" applyAlignment="1" applyProtection="1">
      <alignment/>
      <protection/>
    </xf>
    <xf numFmtId="10" fontId="0" fillId="0" borderId="0" xfId="60" applyNumberFormat="1" applyFont="1" applyFill="1" applyBorder="1" applyAlignment="1" applyProtection="1">
      <alignment/>
      <protection/>
    </xf>
    <xf numFmtId="43" fontId="0" fillId="0" borderId="29" xfId="42" applyFont="1" applyFill="1" applyBorder="1" applyAlignment="1" applyProtection="1">
      <alignment/>
      <protection/>
    </xf>
    <xf numFmtId="4" fontId="21" fillId="0" borderId="29" xfId="0" applyNumberFormat="1" applyFont="1" applyFill="1" applyBorder="1" applyAlignment="1" applyProtection="1">
      <alignment/>
      <protection locked="0"/>
    </xf>
    <xf numFmtId="1" fontId="0" fillId="0" borderId="25" xfId="0" applyNumberFormat="1" applyFont="1" applyFill="1" applyBorder="1" applyAlignment="1" applyProtection="1">
      <alignment/>
      <protection/>
    </xf>
    <xf numFmtId="10" fontId="0" fillId="0" borderId="0"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42" applyNumberFormat="1" applyFont="1" applyFill="1" applyBorder="1" applyAlignment="1" applyProtection="1">
      <alignment/>
      <protection/>
    </xf>
    <xf numFmtId="165" fontId="0" fillId="0" borderId="0" xfId="42" applyNumberFormat="1" applyFont="1" applyFill="1" applyBorder="1" applyAlignment="1" applyProtection="1">
      <alignment/>
      <protection/>
    </xf>
    <xf numFmtId="43" fontId="0" fillId="0" borderId="0" xfId="42" applyFont="1" applyFill="1" applyBorder="1" applyAlignment="1" applyProtection="1">
      <alignment/>
      <protection/>
    </xf>
    <xf numFmtId="4" fontId="0" fillId="0" borderId="0" xfId="0" applyNumberFormat="1" applyFont="1" applyFill="1" applyBorder="1" applyAlignment="1" applyProtection="1">
      <alignment/>
      <protection/>
    </xf>
    <xf numFmtId="10" fontId="0" fillId="0" borderId="0" xfId="60" applyNumberFormat="1" applyFont="1" applyFill="1" applyBorder="1" applyAlignment="1" applyProtection="1">
      <alignment/>
      <protection/>
    </xf>
    <xf numFmtId="1" fontId="0" fillId="0" borderId="0" xfId="0" applyNumberFormat="1" applyFont="1" applyFill="1" applyAlignment="1" applyProtection="1">
      <alignment horizontal="right"/>
      <protection/>
    </xf>
    <xf numFmtId="4" fontId="2" fillId="0" borderId="0" xfId="0" applyNumberFormat="1" applyFont="1" applyFill="1" applyAlignment="1" applyProtection="1">
      <alignment horizontal="right" wrapText="1"/>
      <protection/>
    </xf>
    <xf numFmtId="1" fontId="2" fillId="0" borderId="0" xfId="0" applyNumberFormat="1" applyFont="1" applyFill="1" applyAlignment="1" applyProtection="1">
      <alignment horizontal="right" wrapText="1"/>
      <protection/>
    </xf>
    <xf numFmtId="10" fontId="2" fillId="0" borderId="0" xfId="60" applyNumberFormat="1" applyFont="1" applyFill="1" applyAlignment="1" applyProtection="1">
      <alignment horizontal="right" wrapText="1"/>
      <protection/>
    </xf>
    <xf numFmtId="2" fontId="0" fillId="0" borderId="0" xfId="0" applyNumberFormat="1" applyFont="1" applyFill="1" applyAlignment="1" applyProtection="1">
      <alignment/>
      <protection/>
    </xf>
    <xf numFmtId="10" fontId="0" fillId="0" borderId="0" xfId="60" applyNumberFormat="1" applyFont="1" applyFill="1" applyAlignment="1" applyProtection="1">
      <alignment/>
      <protection/>
    </xf>
    <xf numFmtId="1" fontId="0" fillId="0" borderId="0" xfId="0" applyNumberFormat="1" applyFont="1" applyFill="1" applyAlignment="1" applyProtection="1">
      <alignment/>
      <protection/>
    </xf>
    <xf numFmtId="43" fontId="0" fillId="0" borderId="29" xfId="42" applyFont="1" applyFill="1" applyBorder="1" applyAlignment="1" applyProtection="1">
      <alignment horizontal="center" wrapText="1"/>
      <protection/>
    </xf>
    <xf numFmtId="2" fontId="0" fillId="0" borderId="29" xfId="0" applyNumberFormat="1" applyFont="1" applyFill="1" applyBorder="1" applyAlignment="1" applyProtection="1">
      <alignment wrapText="1"/>
      <protection/>
    </xf>
    <xf numFmtId="1" fontId="0" fillId="0" borderId="29" xfId="0" applyNumberFormat="1" applyFont="1" applyFill="1" applyBorder="1" applyAlignment="1" applyProtection="1">
      <alignment horizontal="center"/>
      <protection/>
    </xf>
    <xf numFmtId="10" fontId="0" fillId="0" borderId="0" xfId="60" applyNumberFormat="1" applyFont="1" applyFill="1" applyBorder="1" applyAlignment="1" applyProtection="1">
      <alignment/>
      <protection/>
    </xf>
    <xf numFmtId="165" fontId="11" fillId="0" borderId="29" xfId="42" applyNumberFormat="1" applyFont="1" applyFill="1" applyBorder="1" applyAlignment="1" applyProtection="1">
      <alignment horizontal="right"/>
      <protection locked="0"/>
    </xf>
    <xf numFmtId="2" fontId="0" fillId="0" borderId="41" xfId="42" applyNumberFormat="1" applyFont="1" applyFill="1" applyBorder="1" applyAlignment="1" applyProtection="1">
      <alignment/>
      <protection/>
    </xf>
    <xf numFmtId="165" fontId="0" fillId="0" borderId="29" xfId="42" applyNumberFormat="1" applyFont="1" applyFill="1" applyBorder="1" applyAlignment="1" applyProtection="1">
      <alignment/>
      <protection/>
    </xf>
    <xf numFmtId="165" fontId="11" fillId="0" borderId="29" xfId="42" applyNumberFormat="1" applyFont="1" applyFill="1" applyBorder="1" applyAlignment="1" applyProtection="1">
      <alignment/>
      <protection locked="0"/>
    </xf>
    <xf numFmtId="165" fontId="11" fillId="0" borderId="29" xfId="42" applyNumberFormat="1" applyFont="1" applyFill="1" applyBorder="1" applyAlignment="1" applyProtection="1" quotePrefix="1">
      <alignment/>
      <protection locked="0"/>
    </xf>
    <xf numFmtId="165" fontId="0" fillId="0" borderId="29" xfId="42" applyNumberFormat="1" applyFont="1" applyFill="1" applyBorder="1" applyAlignment="1" applyProtection="1">
      <alignment horizontal="center"/>
      <protection/>
    </xf>
    <xf numFmtId="1" fontId="0" fillId="0" borderId="0" xfId="0" applyNumberFormat="1" applyFont="1" applyFill="1" applyAlignment="1" applyProtection="1">
      <alignment horizontal="left" wrapText="1"/>
      <protection/>
    </xf>
    <xf numFmtId="165" fontId="2" fillId="0" borderId="32" xfId="42" applyNumberFormat="1" applyFont="1" applyFill="1" applyBorder="1" applyAlignment="1" applyProtection="1">
      <alignment horizontal="right"/>
      <protection/>
    </xf>
    <xf numFmtId="2" fontId="0" fillId="0" borderId="24" xfId="42" applyNumberFormat="1" applyFont="1" applyFill="1" applyBorder="1" applyAlignment="1" applyProtection="1">
      <alignment/>
      <protection/>
    </xf>
    <xf numFmtId="165" fontId="0" fillId="0" borderId="29" xfId="42" applyNumberFormat="1" applyFont="1" applyFill="1" applyBorder="1" applyAlignment="1" applyProtection="1">
      <alignment/>
      <protection/>
    </xf>
    <xf numFmtId="165" fontId="2" fillId="0" borderId="29" xfId="42" applyNumberFormat="1" applyFont="1" applyFill="1" applyBorder="1" applyAlignment="1" applyProtection="1">
      <alignment horizontal="right"/>
      <protection/>
    </xf>
    <xf numFmtId="1" fontId="2" fillId="0" borderId="0" xfId="0" applyNumberFormat="1" applyFont="1" applyFill="1" applyBorder="1" applyAlignment="1" applyProtection="1">
      <alignment horizontal="right"/>
      <protection/>
    </xf>
    <xf numFmtId="2" fontId="2" fillId="0" borderId="0" xfId="0" applyNumberFormat="1" applyFont="1" applyFill="1" applyBorder="1" applyAlignment="1" applyProtection="1">
      <alignment horizontal="right"/>
      <protection/>
    </xf>
    <xf numFmtId="10" fontId="2" fillId="0" borderId="0" xfId="60" applyNumberFormat="1" applyFont="1" applyFill="1" applyBorder="1" applyAlignment="1" applyProtection="1">
      <alignment horizontal="right"/>
      <protection/>
    </xf>
    <xf numFmtId="165" fontId="7" fillId="0" borderId="29" xfId="42" applyNumberFormat="1" applyFont="1" applyFill="1" applyBorder="1" applyAlignment="1" applyProtection="1">
      <alignment horizontal="right"/>
      <protection/>
    </xf>
    <xf numFmtId="43" fontId="2" fillId="0" borderId="0" xfId="42" applyFont="1" applyFill="1" applyBorder="1" applyAlignment="1" applyProtection="1">
      <alignment horizontal="right"/>
      <protection/>
    </xf>
    <xf numFmtId="10" fontId="0" fillId="0" borderId="0" xfId="60" applyNumberFormat="1" applyFont="1" applyFill="1" applyAlignment="1" applyProtection="1">
      <alignment/>
      <protection/>
    </xf>
    <xf numFmtId="1" fontId="0" fillId="0" borderId="0" xfId="60" applyNumberFormat="1" applyFont="1" applyFill="1" applyAlignment="1" applyProtection="1">
      <alignment/>
      <protection/>
    </xf>
    <xf numFmtId="10" fontId="0" fillId="0" borderId="0" xfId="0" applyNumberFormat="1" applyFill="1" applyAlignment="1" applyProtection="1">
      <alignment wrapText="1"/>
      <protection/>
    </xf>
    <xf numFmtId="2" fontId="0" fillId="0" borderId="0" xfId="0" applyNumberFormat="1" applyFill="1" applyAlignment="1" applyProtection="1">
      <alignment/>
      <protection/>
    </xf>
    <xf numFmtId="43" fontId="0" fillId="0" borderId="0" xfId="42" applyFont="1" applyFill="1" applyAlignment="1" applyProtection="1">
      <alignment/>
      <protection/>
    </xf>
    <xf numFmtId="4" fontId="0" fillId="0" borderId="0" xfId="0" applyNumberFormat="1" applyFill="1" applyAlignment="1" applyProtection="1">
      <alignment/>
      <protection/>
    </xf>
    <xf numFmtId="10" fontId="0" fillId="0" borderId="0" xfId="0" applyNumberFormat="1" applyFill="1" applyAlignment="1" applyProtection="1">
      <alignment/>
      <protection/>
    </xf>
    <xf numFmtId="1" fontId="0" fillId="35" borderId="30" xfId="0" applyNumberFormat="1" applyFill="1" applyBorder="1" applyAlignment="1" applyProtection="1">
      <alignment/>
      <protection/>
    </xf>
    <xf numFmtId="1" fontId="0" fillId="35" borderId="30" xfId="0" applyNumberFormat="1" applyFont="1" applyFill="1" applyBorder="1" applyAlignment="1" applyProtection="1">
      <alignment/>
      <protection/>
    </xf>
    <xf numFmtId="1" fontId="0" fillId="35" borderId="30" xfId="0" applyNumberFormat="1" applyFill="1" applyBorder="1" applyAlignment="1" applyProtection="1">
      <alignment horizontal="right"/>
      <protection/>
    </xf>
    <xf numFmtId="1" fontId="4" fillId="35" borderId="30" xfId="0" applyNumberFormat="1" applyFont="1" applyFill="1" applyBorder="1" applyAlignment="1" applyProtection="1">
      <alignment horizontal="right"/>
      <protection/>
    </xf>
    <xf numFmtId="1" fontId="0" fillId="35" borderId="30" xfId="0" applyNumberFormat="1" applyFont="1" applyFill="1" applyBorder="1" applyAlignment="1" applyProtection="1">
      <alignment horizontal="right"/>
      <protection/>
    </xf>
    <xf numFmtId="1" fontId="0" fillId="35" borderId="30" xfId="0" applyNumberFormat="1" applyFont="1" applyFill="1" applyBorder="1" applyAlignment="1" applyProtection="1">
      <alignment horizontal="right"/>
      <protection/>
    </xf>
    <xf numFmtId="1" fontId="0" fillId="35" borderId="30" xfId="0" applyNumberFormat="1" applyFont="1" applyFill="1" applyBorder="1" applyAlignment="1" applyProtection="1">
      <alignment horizontal="left"/>
      <protection/>
    </xf>
    <xf numFmtId="1" fontId="0" fillId="35" borderId="30" xfId="0" applyNumberFormat="1" applyFont="1" applyFill="1" applyBorder="1" applyAlignment="1" applyProtection="1">
      <alignment horizontal="left"/>
      <protection/>
    </xf>
    <xf numFmtId="1" fontId="0" fillId="35" borderId="30" xfId="0" applyNumberFormat="1" applyFont="1" applyFill="1" applyBorder="1" applyAlignment="1" applyProtection="1">
      <alignment horizontal="right"/>
      <protection/>
    </xf>
    <xf numFmtId="1" fontId="0" fillId="35" borderId="30" xfId="0" applyNumberFormat="1" applyFont="1" applyFill="1" applyBorder="1" applyAlignment="1" applyProtection="1">
      <alignment/>
      <protection/>
    </xf>
    <xf numFmtId="1" fontId="0" fillId="35" borderId="30" xfId="0" applyNumberFormat="1" applyFill="1" applyBorder="1" applyAlignment="1" applyProtection="1">
      <alignment/>
      <protection/>
    </xf>
    <xf numFmtId="1" fontId="2" fillId="35" borderId="30" xfId="0" applyNumberFormat="1" applyFont="1" applyFill="1" applyBorder="1" applyAlignment="1" applyProtection="1">
      <alignment wrapText="1"/>
      <protection/>
    </xf>
    <xf numFmtId="1" fontId="0" fillId="35" borderId="30" xfId="0" applyNumberFormat="1" applyFont="1" applyFill="1" applyBorder="1" applyAlignment="1" applyProtection="1">
      <alignment horizontal="center"/>
      <protection/>
    </xf>
    <xf numFmtId="1" fontId="0" fillId="35" borderId="30" xfId="0" applyNumberFormat="1" applyFont="1" applyFill="1" applyBorder="1" applyAlignment="1" applyProtection="1">
      <alignment horizontal="center"/>
      <protection/>
    </xf>
    <xf numFmtId="1" fontId="0" fillId="35" borderId="30" xfId="0" applyNumberFormat="1" applyFont="1" applyFill="1" applyBorder="1" applyAlignment="1" applyProtection="1">
      <alignment/>
      <protection/>
    </xf>
    <xf numFmtId="1" fontId="18" fillId="35" borderId="33" xfId="0" applyNumberFormat="1" applyFont="1" applyFill="1" applyBorder="1" applyAlignment="1" applyProtection="1">
      <alignment/>
      <protection/>
    </xf>
    <xf numFmtId="1" fontId="0" fillId="35" borderId="30" xfId="0" applyNumberFormat="1" applyFont="1" applyFill="1" applyBorder="1" applyAlignment="1" applyProtection="1">
      <alignment/>
      <protection/>
    </xf>
    <xf numFmtId="1" fontId="0" fillId="35" borderId="30" xfId="0" applyNumberFormat="1" applyFont="1" applyFill="1" applyBorder="1" applyAlignment="1" applyProtection="1">
      <alignment wrapText="1"/>
      <protection/>
    </xf>
    <xf numFmtId="1" fontId="0" fillId="35" borderId="30" xfId="0" applyNumberFormat="1" applyFont="1" applyFill="1" applyBorder="1" applyAlignment="1" applyProtection="1">
      <alignment wrapText="1"/>
      <protection/>
    </xf>
    <xf numFmtId="1" fontId="2" fillId="35" borderId="30" xfId="0" applyNumberFormat="1" applyFont="1" applyFill="1" applyBorder="1" applyAlignment="1" applyProtection="1">
      <alignment wrapText="1"/>
      <protection/>
    </xf>
    <xf numFmtId="1" fontId="0" fillId="35" borderId="30" xfId="0" applyNumberFormat="1" applyFont="1" applyFill="1" applyBorder="1" applyAlignment="1" applyProtection="1">
      <alignment wrapText="1"/>
      <protection/>
    </xf>
    <xf numFmtId="1" fontId="0" fillId="35" borderId="32" xfId="0" applyNumberFormat="1" applyFont="1" applyFill="1" applyBorder="1" applyAlignment="1" applyProtection="1">
      <alignment wrapText="1"/>
      <protection/>
    </xf>
    <xf numFmtId="1" fontId="0" fillId="35" borderId="33" xfId="0" applyNumberFormat="1" applyFill="1" applyBorder="1" applyAlignment="1" applyProtection="1">
      <alignment/>
      <protection/>
    </xf>
    <xf numFmtId="1" fontId="0" fillId="35" borderId="32" xfId="0" applyNumberFormat="1" applyFont="1" applyFill="1" applyBorder="1" applyAlignment="1" applyProtection="1">
      <alignment horizontal="right"/>
      <protection/>
    </xf>
    <xf numFmtId="1" fontId="0" fillId="35" borderId="30" xfId="0" applyNumberFormat="1" applyFont="1" applyFill="1" applyBorder="1" applyAlignment="1" applyProtection="1">
      <alignment horizontal="right"/>
      <protection/>
    </xf>
    <xf numFmtId="1" fontId="0" fillId="35" borderId="30" xfId="0" applyNumberFormat="1" applyFont="1" applyFill="1" applyBorder="1" applyAlignment="1" applyProtection="1">
      <alignment/>
      <protection/>
    </xf>
    <xf numFmtId="1" fontId="0" fillId="35" borderId="30" xfId="0" applyNumberFormat="1" applyFont="1" applyFill="1" applyBorder="1" applyAlignment="1" applyProtection="1">
      <alignment horizontal="left" wrapText="1"/>
      <protection/>
    </xf>
    <xf numFmtId="1" fontId="0" fillId="35" borderId="30" xfId="0" applyNumberFormat="1" applyFont="1" applyFill="1" applyBorder="1" applyAlignment="1" applyProtection="1">
      <alignment horizontal="right"/>
      <protection/>
    </xf>
    <xf numFmtId="1" fontId="0" fillId="35" borderId="32" xfId="0" applyNumberFormat="1" applyFont="1" applyFill="1" applyBorder="1" applyAlignment="1" applyProtection="1">
      <alignment horizontal="right"/>
      <protection/>
    </xf>
    <xf numFmtId="1" fontId="0" fillId="0" borderId="22" xfId="0" applyNumberFormat="1" applyFill="1" applyBorder="1" applyAlignment="1" applyProtection="1">
      <alignment horizontal="right"/>
      <protection/>
    </xf>
    <xf numFmtId="1" fontId="0" fillId="0" borderId="25" xfId="0" applyNumberFormat="1" applyFill="1" applyBorder="1" applyAlignment="1" applyProtection="1">
      <alignment horizontal="right"/>
      <protection/>
    </xf>
    <xf numFmtId="1" fontId="0" fillId="0" borderId="28" xfId="0" applyNumberFormat="1"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1" fontId="0" fillId="0" borderId="33" xfId="0" applyNumberFormat="1" applyFont="1" applyFill="1" applyBorder="1" applyAlignment="1" applyProtection="1">
      <alignment wrapText="1"/>
      <protection/>
    </xf>
    <xf numFmtId="43" fontId="2" fillId="0" borderId="41" xfId="42" applyFont="1" applyFill="1" applyBorder="1" applyAlignment="1" applyProtection="1">
      <alignment/>
      <protection/>
    </xf>
    <xf numFmtId="10" fontId="2" fillId="0" borderId="42" xfId="0" applyNumberFormat="1" applyFont="1" applyFill="1" applyBorder="1" applyAlignment="1" applyProtection="1">
      <alignment/>
      <protection/>
    </xf>
    <xf numFmtId="43" fontId="0" fillId="0" borderId="41" xfId="42" applyFont="1" applyFill="1" applyBorder="1" applyAlignment="1" applyProtection="1">
      <alignment horizontal="center"/>
      <protection/>
    </xf>
    <xf numFmtId="10" fontId="0" fillId="0" borderId="31" xfId="0" applyNumberFormat="1" applyFont="1" applyFill="1" applyBorder="1" applyAlignment="1" applyProtection="1">
      <alignment horizontal="center"/>
      <protection/>
    </xf>
    <xf numFmtId="43" fontId="0" fillId="0" borderId="41" xfId="42" applyFont="1" applyFill="1" applyBorder="1" applyAlignment="1" applyProtection="1">
      <alignment/>
      <protection/>
    </xf>
    <xf numFmtId="10" fontId="0" fillId="0" borderId="31" xfId="0" applyNumberFormat="1" applyFont="1" applyFill="1" applyBorder="1" applyAlignment="1" applyProtection="1">
      <alignment/>
      <protection/>
    </xf>
    <xf numFmtId="43" fontId="0" fillId="0" borderId="42" xfId="42" applyFont="1" applyFill="1" applyBorder="1" applyAlignment="1" applyProtection="1">
      <alignment/>
      <protection/>
    </xf>
    <xf numFmtId="10" fontId="0" fillId="0" borderId="0" xfId="42" applyNumberFormat="1" applyFont="1" applyFill="1" applyAlignment="1" applyProtection="1">
      <alignment/>
      <protection/>
    </xf>
    <xf numFmtId="43" fontId="0" fillId="0" borderId="23" xfId="42" applyFont="1" applyFill="1" applyBorder="1" applyAlignment="1" applyProtection="1">
      <alignment/>
      <protection/>
    </xf>
    <xf numFmtId="4" fontId="21" fillId="0" borderId="23" xfId="0" applyNumberFormat="1" applyFont="1" applyFill="1" applyBorder="1" applyAlignment="1" applyProtection="1">
      <alignment/>
      <protection locked="0"/>
    </xf>
    <xf numFmtId="10" fontId="0" fillId="0" borderId="0" xfId="42" applyNumberFormat="1" applyFont="1" applyFill="1" applyBorder="1" applyAlignment="1" applyProtection="1">
      <alignment/>
      <protection/>
    </xf>
    <xf numFmtId="169" fontId="0" fillId="0" borderId="0" xfId="0" applyNumberFormat="1" applyFill="1" applyAlignment="1" applyProtection="1">
      <alignment wrapText="1"/>
      <protection/>
    </xf>
    <xf numFmtId="169" fontId="0" fillId="0" borderId="29" xfId="60" applyNumberFormat="1" applyFont="1" applyFill="1" applyBorder="1" applyAlignment="1" applyProtection="1">
      <alignment horizontal="center" wrapText="1"/>
      <protection/>
    </xf>
    <xf numFmtId="10" fontId="20" fillId="0" borderId="29" xfId="0" applyNumberFormat="1" applyFont="1" applyFill="1" applyBorder="1" applyAlignment="1" applyProtection="1">
      <alignment horizontal="center" wrapText="1"/>
      <protection/>
    </xf>
    <xf numFmtId="169" fontId="11" fillId="0" borderId="29" xfId="42" applyNumberFormat="1" applyFont="1" applyFill="1" applyBorder="1" applyAlignment="1" applyProtection="1">
      <alignment horizontal="right"/>
      <protection locked="0"/>
    </xf>
    <xf numFmtId="170" fontId="0" fillId="0" borderId="29" xfId="0" applyNumberFormat="1" applyFont="1" applyFill="1" applyBorder="1" applyAlignment="1" applyProtection="1">
      <alignment/>
      <protection/>
    </xf>
    <xf numFmtId="169" fontId="11" fillId="0" borderId="29" xfId="42" applyNumberFormat="1" applyFont="1" applyFill="1" applyBorder="1" applyAlignment="1" applyProtection="1">
      <alignment/>
      <protection locked="0"/>
    </xf>
    <xf numFmtId="169" fontId="11" fillId="0" borderId="29" xfId="42" applyNumberFormat="1" applyFont="1" applyFill="1" applyBorder="1" applyAlignment="1" applyProtection="1" quotePrefix="1">
      <alignment/>
      <protection locked="0"/>
    </xf>
    <xf numFmtId="169" fontId="0" fillId="0" borderId="29" xfId="42" applyNumberFormat="1" applyFont="1" applyFill="1" applyBorder="1" applyAlignment="1" applyProtection="1">
      <alignment horizontal="center"/>
      <protection/>
    </xf>
    <xf numFmtId="169" fontId="2" fillId="0" borderId="32" xfId="42" applyNumberFormat="1" applyFont="1" applyFill="1" applyBorder="1" applyAlignment="1" applyProtection="1">
      <alignment horizontal="right"/>
      <protection/>
    </xf>
    <xf numFmtId="169" fontId="2" fillId="0" borderId="29" xfId="42" applyNumberFormat="1" applyFont="1" applyFill="1" applyBorder="1" applyAlignment="1" applyProtection="1">
      <alignment horizontal="right"/>
      <protection/>
    </xf>
    <xf numFmtId="169" fontId="7" fillId="0" borderId="29" xfId="42" applyNumberFormat="1" applyFont="1" applyFill="1" applyBorder="1" applyAlignment="1" applyProtection="1">
      <alignment horizontal="right"/>
      <protection/>
    </xf>
    <xf numFmtId="169" fontId="2" fillId="0" borderId="0" xfId="42" applyNumberFormat="1" applyFont="1" applyFill="1" applyBorder="1" applyAlignment="1" applyProtection="1">
      <alignment horizontal="right"/>
      <protection/>
    </xf>
    <xf numFmtId="169" fontId="0" fillId="0" borderId="29" xfId="42" applyNumberFormat="1" applyFont="1" applyFill="1" applyBorder="1" applyAlignment="1" applyProtection="1">
      <alignment wrapText="1"/>
      <protection locked="0"/>
    </xf>
    <xf numFmtId="169" fontId="0" fillId="0" borderId="29" xfId="42" applyNumberFormat="1" applyFont="1" applyFill="1" applyBorder="1" applyAlignment="1" applyProtection="1">
      <alignment wrapText="1"/>
      <protection/>
    </xf>
    <xf numFmtId="1" fontId="18" fillId="34" borderId="33" xfId="0" applyNumberFormat="1" applyFont="1" applyFill="1" applyBorder="1" applyAlignment="1" applyProtection="1">
      <alignment/>
      <protection/>
    </xf>
    <xf numFmtId="1" fontId="0" fillId="34" borderId="32" xfId="0" applyNumberFormat="1" applyFill="1" applyBorder="1" applyAlignment="1" applyProtection="1">
      <alignment/>
      <protection/>
    </xf>
    <xf numFmtId="1" fontId="0" fillId="0" borderId="31" xfId="0" applyNumberFormat="1" applyFont="1" applyFill="1" applyBorder="1" applyAlignment="1" applyProtection="1">
      <alignment wrapText="1"/>
      <protection/>
    </xf>
    <xf numFmtId="1" fontId="0" fillId="0" borderId="23" xfId="0" applyNumberFormat="1" applyFont="1" applyFill="1" applyBorder="1" applyAlignment="1" applyProtection="1">
      <alignment wrapText="1"/>
      <protection/>
    </xf>
    <xf numFmtId="1" fontId="0" fillId="34" borderId="32" xfId="0" applyNumberFormat="1" applyFill="1" applyBorder="1" applyAlignment="1" applyProtection="1">
      <alignment horizontal="right"/>
      <protection/>
    </xf>
    <xf numFmtId="1" fontId="0" fillId="0" borderId="41" xfId="0" applyNumberFormat="1" applyFill="1" applyBorder="1" applyAlignment="1" applyProtection="1">
      <alignment wrapText="1"/>
      <protection/>
    </xf>
    <xf numFmtId="1" fontId="0" fillId="0" borderId="30" xfId="0" applyNumberFormat="1" applyFont="1" applyFill="1" applyBorder="1" applyAlignment="1" applyProtection="1">
      <alignment horizontal="center" wrapText="1"/>
      <protection/>
    </xf>
    <xf numFmtId="1" fontId="0" fillId="0" borderId="0" xfId="0" applyNumberFormat="1" applyFont="1" applyFill="1" applyAlignment="1" applyProtection="1">
      <alignment horizontal="center"/>
      <protection/>
    </xf>
    <xf numFmtId="43" fontId="0" fillId="0" borderId="10" xfId="42" applyFont="1" applyFill="1" applyBorder="1" applyAlignment="1" applyProtection="1">
      <alignment horizontal="center"/>
      <protection/>
    </xf>
    <xf numFmtId="1" fontId="0" fillId="0" borderId="10" xfId="60" applyNumberFormat="1" applyFont="1" applyFill="1" applyBorder="1" applyAlignment="1" applyProtection="1">
      <alignment horizontal="center"/>
      <protection/>
    </xf>
    <xf numFmtId="9" fontId="0" fillId="0" borderId="33" xfId="60" applyFont="1" applyFill="1" applyBorder="1" applyAlignment="1" applyProtection="1">
      <alignment/>
      <protection/>
    </xf>
    <xf numFmtId="10" fontId="0" fillId="0" borderId="25" xfId="60" applyNumberFormat="1" applyFont="1" applyFill="1" applyBorder="1" applyAlignment="1" applyProtection="1" quotePrefix="1">
      <alignment wrapText="1"/>
      <protection/>
    </xf>
    <xf numFmtId="9" fontId="0" fillId="0" borderId="32" xfId="60" applyFont="1" applyFill="1" applyBorder="1" applyAlignment="1" applyProtection="1">
      <alignment/>
      <protection/>
    </xf>
    <xf numFmtId="9" fontId="0" fillId="0" borderId="32" xfId="60" applyFont="1" applyFill="1" applyBorder="1" applyAlignment="1" applyProtection="1" quotePrefix="1">
      <alignment/>
      <protection/>
    </xf>
    <xf numFmtId="10" fontId="0" fillId="0" borderId="29" xfId="60" applyNumberFormat="1" applyFont="1" applyFill="1" applyBorder="1" applyAlignment="1" applyProtection="1" quotePrefix="1">
      <alignment wrapText="1"/>
      <protection/>
    </xf>
    <xf numFmtId="9" fontId="0" fillId="0" borderId="27" xfId="60" applyFont="1" applyFill="1" applyBorder="1" applyAlignment="1" applyProtection="1" quotePrefix="1">
      <alignment/>
      <protection/>
    </xf>
    <xf numFmtId="1" fontId="0" fillId="0" borderId="33" xfId="0" applyNumberFormat="1" applyFont="1" applyFill="1" applyBorder="1" applyAlignment="1" applyProtection="1">
      <alignment/>
      <protection/>
    </xf>
    <xf numFmtId="1" fontId="0" fillId="0" borderId="25" xfId="0" applyNumberFormat="1" applyFont="1" applyFill="1" applyBorder="1" applyAlignment="1" applyProtection="1">
      <alignment wrapText="1"/>
      <protection/>
    </xf>
    <xf numFmtId="43" fontId="0" fillId="0" borderId="42" xfId="42" applyFont="1" applyFill="1" applyBorder="1" applyAlignment="1" applyProtection="1">
      <alignment horizontal="center"/>
      <protection/>
    </xf>
    <xf numFmtId="1" fontId="0" fillId="0" borderId="31" xfId="60" applyNumberFormat="1" applyFont="1" applyFill="1" applyBorder="1" applyAlignment="1" applyProtection="1">
      <alignment/>
      <protection/>
    </xf>
    <xf numFmtId="43" fontId="0" fillId="0" borderId="0" xfId="42" applyFont="1" applyFill="1" applyBorder="1" applyAlignment="1" applyProtection="1">
      <alignment horizontal="center" wrapText="1"/>
      <protection/>
    </xf>
    <xf numFmtId="1" fontId="0" fillId="0" borderId="0" xfId="60" applyNumberFormat="1" applyFont="1" applyFill="1" applyBorder="1" applyAlignment="1" applyProtection="1">
      <alignment/>
      <protection/>
    </xf>
    <xf numFmtId="43" fontId="0" fillId="0" borderId="41" xfId="42" applyFont="1" applyFill="1" applyBorder="1" applyAlignment="1" applyProtection="1">
      <alignment wrapText="1"/>
      <protection/>
    </xf>
    <xf numFmtId="43" fontId="0" fillId="0" borderId="22" xfId="42" applyFont="1" applyFill="1" applyBorder="1" applyAlignment="1" applyProtection="1">
      <alignment/>
      <protection/>
    </xf>
    <xf numFmtId="4" fontId="21" fillId="0" borderId="23" xfId="0" applyNumberFormat="1" applyFont="1" applyFill="1" applyBorder="1" applyAlignment="1" applyProtection="1">
      <alignment/>
      <protection/>
    </xf>
    <xf numFmtId="1" fontId="0" fillId="0" borderId="32" xfId="0" applyNumberFormat="1" applyFont="1" applyFill="1" applyBorder="1" applyAlignment="1" applyProtection="1">
      <alignment/>
      <protection/>
    </xf>
    <xf numFmtId="43" fontId="0" fillId="0" borderId="30" xfId="42" applyFont="1" applyFill="1" applyBorder="1" applyAlignment="1" applyProtection="1">
      <alignment wrapText="1"/>
      <protection/>
    </xf>
    <xf numFmtId="1" fontId="0" fillId="0" borderId="0" xfId="60" applyNumberFormat="1" applyFont="1" applyFill="1" applyAlignment="1" applyProtection="1">
      <alignment/>
      <protection/>
    </xf>
    <xf numFmtId="1" fontId="20" fillId="0" borderId="0" xfId="0" applyNumberFormat="1" applyFont="1" applyFill="1" applyBorder="1" applyAlignment="1" applyProtection="1">
      <alignment wrapText="1"/>
      <protection/>
    </xf>
    <xf numFmtId="43" fontId="20" fillId="0" borderId="0" xfId="42" applyFont="1" applyFill="1" applyBorder="1" applyAlignment="1" applyProtection="1">
      <alignment wrapText="1"/>
      <protection/>
    </xf>
    <xf numFmtId="43" fontId="0" fillId="0" borderId="0" xfId="42" applyFont="1" applyFill="1" applyBorder="1" applyAlignment="1" applyProtection="1">
      <alignment/>
      <protection/>
    </xf>
    <xf numFmtId="1" fontId="11" fillId="0" borderId="0" xfId="0" applyNumberFormat="1" applyFont="1" applyFill="1" applyBorder="1" applyAlignment="1" applyProtection="1">
      <alignment wrapText="1"/>
      <protection/>
    </xf>
    <xf numFmtId="1" fontId="2" fillId="0" borderId="41" xfId="0" applyNumberFormat="1" applyFont="1" applyFill="1" applyBorder="1" applyAlignment="1" applyProtection="1">
      <alignment wrapText="1"/>
      <protection/>
    </xf>
    <xf numFmtId="43" fontId="2" fillId="0" borderId="0" xfId="42" applyFont="1" applyFill="1" applyBorder="1" applyAlignment="1" applyProtection="1">
      <alignment wrapText="1"/>
      <protection/>
    </xf>
    <xf numFmtId="43" fontId="2" fillId="0" borderId="0" xfId="42" applyFont="1" applyFill="1" applyAlignment="1" applyProtection="1">
      <alignment horizontal="right" wrapText="1"/>
      <protection/>
    </xf>
    <xf numFmtId="1" fontId="2" fillId="0" borderId="31" xfId="0" applyNumberFormat="1" applyFont="1" applyFill="1" applyBorder="1" applyAlignment="1" applyProtection="1">
      <alignment wrapText="1"/>
      <protection/>
    </xf>
    <xf numFmtId="1" fontId="20" fillId="0" borderId="42" xfId="0" applyNumberFormat="1" applyFont="1" applyFill="1" applyBorder="1" applyAlignment="1" applyProtection="1">
      <alignment wrapText="1"/>
      <protection/>
    </xf>
    <xf numFmtId="1" fontId="0" fillId="0" borderId="42" xfId="0" applyNumberFormat="1" applyFont="1" applyFill="1" applyBorder="1" applyAlignment="1" applyProtection="1">
      <alignment wrapText="1"/>
      <protection/>
    </xf>
    <xf numFmtId="1" fontId="0" fillId="0" borderId="42" xfId="0" applyNumberFormat="1" applyFill="1" applyBorder="1" applyAlignment="1" applyProtection="1">
      <alignment wrapText="1"/>
      <protection/>
    </xf>
    <xf numFmtId="1" fontId="11" fillId="0" borderId="42" xfId="0" applyNumberFormat="1" applyFont="1" applyFill="1" applyBorder="1" applyAlignment="1" applyProtection="1">
      <alignment wrapText="1"/>
      <protection/>
    </xf>
    <xf numFmtId="1" fontId="0" fillId="36" borderId="30" xfId="0" applyNumberFormat="1" applyFont="1" applyFill="1" applyBorder="1" applyAlignment="1" applyProtection="1">
      <alignment/>
      <protection/>
    </xf>
    <xf numFmtId="1" fontId="18" fillId="37" borderId="33" xfId="0" applyNumberFormat="1" applyFont="1" applyFill="1" applyBorder="1" applyAlignment="1" applyProtection="1">
      <alignment/>
      <protection/>
    </xf>
    <xf numFmtId="1" fontId="0" fillId="37" borderId="30" xfId="0" applyNumberFormat="1" applyFont="1" applyFill="1" applyBorder="1" applyAlignment="1" applyProtection="1">
      <alignment/>
      <protection/>
    </xf>
    <xf numFmtId="1" fontId="0" fillId="37" borderId="32" xfId="0" applyNumberFormat="1" applyFont="1" applyFill="1" applyBorder="1" applyAlignment="1" applyProtection="1">
      <alignment/>
      <protection/>
    </xf>
    <xf numFmtId="1" fontId="0" fillId="37" borderId="30" xfId="0" applyNumberFormat="1" applyFill="1" applyBorder="1" applyAlignment="1" applyProtection="1">
      <alignment/>
      <protection/>
    </xf>
    <xf numFmtId="1" fontId="0" fillId="37" borderId="30" xfId="0" applyNumberFormat="1" applyFill="1" applyBorder="1" applyAlignment="1" applyProtection="1">
      <alignment horizontal="right"/>
      <protection/>
    </xf>
    <xf numFmtId="1" fontId="4" fillId="37" borderId="30" xfId="0" applyNumberFormat="1" applyFont="1" applyFill="1" applyBorder="1" applyAlignment="1" applyProtection="1">
      <alignment horizontal="right"/>
      <protection/>
    </xf>
    <xf numFmtId="1" fontId="0" fillId="37" borderId="30" xfId="0" applyNumberFormat="1" applyFont="1" applyFill="1" applyBorder="1" applyAlignment="1" applyProtection="1">
      <alignment horizontal="right"/>
      <protection/>
    </xf>
    <xf numFmtId="1" fontId="0" fillId="37" borderId="30" xfId="0" applyNumberFormat="1" applyFont="1" applyFill="1" applyBorder="1" applyAlignment="1" applyProtection="1">
      <alignment horizontal="left"/>
      <protection/>
    </xf>
    <xf numFmtId="1" fontId="0" fillId="37" borderId="30" xfId="0" applyNumberFormat="1" applyFont="1" applyFill="1" applyBorder="1" applyAlignment="1" applyProtection="1">
      <alignment/>
      <protection/>
    </xf>
    <xf numFmtId="49" fontId="0" fillId="0" borderId="0" xfId="0" applyNumberFormat="1" applyFill="1" applyAlignment="1" applyProtection="1">
      <alignment horizontal="center"/>
      <protection/>
    </xf>
    <xf numFmtId="43" fontId="0" fillId="0" borderId="32" xfId="42" applyFont="1" applyFill="1" applyBorder="1" applyAlignment="1" applyProtection="1">
      <alignment horizontal="center" wrapText="1"/>
      <protection/>
    </xf>
    <xf numFmtId="9" fontId="0" fillId="0" borderId="41" xfId="60" applyFont="1" applyFill="1" applyBorder="1" applyAlignment="1" applyProtection="1" quotePrefix="1">
      <alignment/>
      <protection/>
    </xf>
    <xf numFmtId="2" fontId="11" fillId="0" borderId="30" xfId="42" applyNumberFormat="1" applyFont="1" applyFill="1" applyBorder="1" applyAlignment="1" applyProtection="1">
      <alignment/>
      <protection/>
    </xf>
    <xf numFmtId="43" fontId="0" fillId="0" borderId="41" xfId="42" applyFont="1" applyFill="1" applyBorder="1" applyAlignment="1" applyProtection="1">
      <alignment horizontal="center" wrapText="1"/>
      <protection/>
    </xf>
    <xf numFmtId="43" fontId="0" fillId="0" borderId="41" xfId="42" applyFont="1" applyFill="1" applyBorder="1" applyAlignment="1" applyProtection="1">
      <alignment horizontal="center" wrapText="1"/>
      <protection/>
    </xf>
    <xf numFmtId="43" fontId="0" fillId="0" borderId="41" xfId="42" applyFont="1" applyFill="1" applyBorder="1" applyAlignment="1" applyProtection="1">
      <alignment horizontal="center"/>
      <protection/>
    </xf>
    <xf numFmtId="10" fontId="2" fillId="0" borderId="29" xfId="60" applyNumberFormat="1" applyFont="1" applyFill="1" applyBorder="1" applyAlignment="1" applyProtection="1">
      <alignment horizontal="center" wrapText="1"/>
      <protection/>
    </xf>
    <xf numFmtId="43" fontId="23" fillId="0" borderId="29" xfId="42" applyFont="1" applyFill="1" applyBorder="1" applyAlignment="1" applyProtection="1">
      <alignment horizontal="center" wrapText="1"/>
      <protection/>
    </xf>
    <xf numFmtId="165" fontId="11" fillId="0" borderId="29" xfId="42" applyNumberFormat="1" applyFont="1" applyFill="1" applyBorder="1" applyAlignment="1" applyProtection="1">
      <alignment horizontal="center"/>
      <protection locked="0"/>
    </xf>
    <xf numFmtId="165" fontId="11" fillId="0" borderId="29" xfId="42" applyNumberFormat="1" applyFont="1" applyFill="1" applyBorder="1" applyAlignment="1" applyProtection="1" quotePrefix="1">
      <alignment horizontal="center"/>
      <protection locked="0"/>
    </xf>
    <xf numFmtId="165" fontId="2" fillId="0" borderId="32" xfId="42" applyNumberFormat="1" applyFont="1" applyFill="1" applyBorder="1" applyAlignment="1" applyProtection="1">
      <alignment horizontal="center"/>
      <protection/>
    </xf>
    <xf numFmtId="43" fontId="0" fillId="0" borderId="0" xfId="42" applyFont="1" applyFill="1" applyAlignment="1" applyProtection="1">
      <alignment horizontal="left" wrapText="1"/>
      <protection/>
    </xf>
    <xf numFmtId="1" fontId="0" fillId="36" borderId="30" xfId="0" applyNumberFormat="1" applyFill="1" applyBorder="1" applyAlignment="1" applyProtection="1">
      <alignment/>
      <protection/>
    </xf>
    <xf numFmtId="1" fontId="0" fillId="36" borderId="30" xfId="0" applyNumberFormat="1" applyFont="1" applyFill="1" applyBorder="1" applyAlignment="1" applyProtection="1">
      <alignment/>
      <protection/>
    </xf>
    <xf numFmtId="1" fontId="0" fillId="36" borderId="30" xfId="0" applyNumberFormat="1" applyFill="1" applyBorder="1" applyAlignment="1" applyProtection="1">
      <alignment horizontal="right"/>
      <protection/>
    </xf>
    <xf numFmtId="1" fontId="4" fillId="36" borderId="30" xfId="0" applyNumberFormat="1" applyFont="1" applyFill="1" applyBorder="1" applyAlignment="1" applyProtection="1">
      <alignment horizontal="right"/>
      <protection/>
    </xf>
    <xf numFmtId="1" fontId="0" fillId="36" borderId="30" xfId="0" applyNumberFormat="1" applyFont="1" applyFill="1" applyBorder="1" applyAlignment="1" applyProtection="1">
      <alignment horizontal="right"/>
      <protection/>
    </xf>
    <xf numFmtId="1" fontId="0" fillId="36" borderId="30" xfId="0" applyNumberFormat="1" applyFont="1" applyFill="1" applyBorder="1" applyAlignment="1" applyProtection="1">
      <alignment horizontal="left"/>
      <protection/>
    </xf>
    <xf numFmtId="1" fontId="0" fillId="36" borderId="30" xfId="0" applyNumberFormat="1" applyFont="1" applyFill="1" applyBorder="1" applyAlignment="1" applyProtection="1">
      <alignment/>
      <protection/>
    </xf>
    <xf numFmtId="1" fontId="0" fillId="36" borderId="33" xfId="0" applyNumberFormat="1" applyFill="1" applyBorder="1" applyAlignment="1" applyProtection="1">
      <alignment/>
      <protection/>
    </xf>
    <xf numFmtId="1" fontId="0" fillId="36" borderId="32" xfId="0" applyNumberFormat="1" applyFont="1" applyFill="1" applyBorder="1" applyAlignment="1" applyProtection="1">
      <alignment horizontal="left" wrapText="1"/>
      <protection/>
    </xf>
    <xf numFmtId="1" fontId="0" fillId="0" borderId="42" xfId="0" applyNumberFormat="1" applyFont="1" applyFill="1" applyBorder="1" applyAlignment="1" applyProtection="1">
      <alignment wrapText="1"/>
      <protection/>
    </xf>
    <xf numFmtId="1" fontId="0" fillId="0" borderId="23" xfId="0" applyNumberFormat="1" applyFont="1" applyFill="1" applyBorder="1" applyAlignment="1" applyProtection="1">
      <alignment/>
      <protection/>
    </xf>
    <xf numFmtId="165" fontId="0" fillId="0" borderId="0" xfId="42" applyNumberFormat="1" applyFont="1" applyAlignment="1" applyProtection="1">
      <alignment horizontal="center" wrapText="1"/>
      <protection/>
    </xf>
    <xf numFmtId="43" fontId="0" fillId="0" borderId="0" xfId="0" applyNumberFormat="1" applyAlignment="1">
      <alignment/>
    </xf>
    <xf numFmtId="0" fontId="98" fillId="0" borderId="0" xfId="0" applyFont="1" applyAlignment="1">
      <alignment horizontal="center"/>
    </xf>
    <xf numFmtId="44" fontId="0" fillId="0" borderId="10" xfId="44" applyFont="1" applyFill="1" applyBorder="1" applyAlignment="1" applyProtection="1">
      <alignment/>
      <protection/>
    </xf>
    <xf numFmtId="0" fontId="0" fillId="0" borderId="0" xfId="0" applyFill="1" applyAlignment="1" applyProtection="1">
      <alignment/>
      <protection/>
    </xf>
    <xf numFmtId="44" fontId="0" fillId="0" borderId="10" xfId="44" applyFont="1" applyFill="1" applyBorder="1" applyAlignment="1" applyProtection="1">
      <alignment horizontal="center"/>
      <protection/>
    </xf>
    <xf numFmtId="1" fontId="0" fillId="0" borderId="41" xfId="0" applyNumberFormat="1" applyFill="1" applyBorder="1" applyAlignment="1" applyProtection="1">
      <alignment horizontal="right"/>
      <protection/>
    </xf>
    <xf numFmtId="0" fontId="0" fillId="0" borderId="0" xfId="0" applyFill="1" applyAlignment="1">
      <alignment/>
    </xf>
    <xf numFmtId="1" fontId="0" fillId="0" borderId="28" xfId="0" applyNumberFormat="1" applyFont="1" applyFill="1" applyBorder="1" applyAlignment="1" applyProtection="1">
      <alignment wrapText="1"/>
      <protection/>
    </xf>
    <xf numFmtId="4" fontId="0" fillId="0" borderId="10" xfId="0" applyNumberFormat="1" applyFont="1" applyFill="1" applyBorder="1" applyAlignment="1" applyProtection="1">
      <alignment wrapText="1"/>
      <protection/>
    </xf>
    <xf numFmtId="4" fontId="0" fillId="0" borderId="27" xfId="0" applyNumberFormat="1" applyFont="1" applyFill="1" applyBorder="1" applyAlignment="1" applyProtection="1">
      <alignment wrapText="1"/>
      <protection/>
    </xf>
    <xf numFmtId="44" fontId="21" fillId="0" borderId="29" xfId="44" applyFont="1" applyFill="1" applyBorder="1" applyAlignment="1" applyProtection="1">
      <alignment horizontal="right" wrapText="1"/>
      <protection/>
    </xf>
    <xf numFmtId="10" fontId="0" fillId="0" borderId="24" xfId="60" applyNumberFormat="1" applyFont="1" applyFill="1" applyBorder="1" applyAlignment="1" applyProtection="1">
      <alignment/>
      <protection/>
    </xf>
    <xf numFmtId="10" fontId="0" fillId="0" borderId="27" xfId="60" applyNumberFormat="1" applyFont="1" applyFill="1" applyBorder="1" applyAlignment="1" applyProtection="1">
      <alignment/>
      <protection/>
    </xf>
    <xf numFmtId="2" fontId="11" fillId="0" borderId="33" xfId="42" applyNumberFormat="1" applyFont="1" applyFill="1" applyBorder="1" applyAlignment="1" applyProtection="1">
      <alignment/>
      <protection/>
    </xf>
    <xf numFmtId="2" fontId="11" fillId="0" borderId="32" xfId="42" applyNumberFormat="1" applyFont="1" applyFill="1" applyBorder="1" applyAlignment="1" applyProtection="1">
      <alignment/>
      <protection/>
    </xf>
    <xf numFmtId="43" fontId="0" fillId="0" borderId="10" xfId="42" applyFont="1" applyFill="1" applyBorder="1" applyAlignment="1" applyProtection="1">
      <alignment/>
      <protection/>
    </xf>
    <xf numFmtId="1" fontId="0" fillId="0" borderId="30" xfId="0" applyNumberFormat="1" applyFont="1" applyFill="1" applyBorder="1" applyAlignment="1" applyProtection="1">
      <alignment horizontal="right" wrapText="1"/>
      <protection/>
    </xf>
    <xf numFmtId="1" fontId="0" fillId="0" borderId="29" xfId="0" applyNumberFormat="1" applyFont="1" applyFill="1" applyBorder="1" applyAlignment="1" applyProtection="1">
      <alignment horizontal="right" wrapText="1"/>
      <protection/>
    </xf>
    <xf numFmtId="1" fontId="2" fillId="0" borderId="29" xfId="0" applyNumberFormat="1" applyFont="1" applyFill="1" applyBorder="1" applyAlignment="1" applyProtection="1">
      <alignment horizontal="right" wrapText="1"/>
      <protection/>
    </xf>
    <xf numFmtId="1" fontId="0" fillId="0" borderId="29" xfId="0" applyNumberFormat="1" applyFont="1" applyFill="1" applyBorder="1" applyAlignment="1" applyProtection="1">
      <alignment horizontal="right"/>
      <protection/>
    </xf>
    <xf numFmtId="0" fontId="99" fillId="0" borderId="10" xfId="0" applyFont="1" applyBorder="1" applyAlignment="1" applyProtection="1">
      <alignment horizontal="center"/>
      <protection locked="0"/>
    </xf>
    <xf numFmtId="0" fontId="0" fillId="0" borderId="0" xfId="0" applyFont="1" applyAlignment="1" applyProtection="1">
      <alignment/>
      <protection/>
    </xf>
    <xf numFmtId="0" fontId="0" fillId="33"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100" fillId="0" borderId="0" xfId="0" applyFont="1" applyFill="1" applyAlignment="1" applyProtection="1" quotePrefix="1">
      <alignment/>
      <protection/>
    </xf>
    <xf numFmtId="0" fontId="99" fillId="0" borderId="0" xfId="0" applyFont="1" applyBorder="1" applyAlignment="1" applyProtection="1">
      <alignment/>
      <protection/>
    </xf>
    <xf numFmtId="0" fontId="10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33" borderId="0" xfId="0" applyFont="1" applyFill="1" applyAlignment="1" applyProtection="1" quotePrefix="1">
      <alignment/>
      <protection/>
    </xf>
    <xf numFmtId="0" fontId="100" fillId="0" borderId="0" xfId="0" applyFont="1" applyFill="1" applyAlignment="1" applyProtection="1">
      <alignment/>
      <protection/>
    </xf>
    <xf numFmtId="0" fontId="101" fillId="33" borderId="0" xfId="0" applyFont="1" applyFill="1" applyAlignment="1" applyProtection="1">
      <alignment/>
      <protection/>
    </xf>
    <xf numFmtId="0" fontId="0" fillId="0" borderId="0" xfId="0" applyFont="1" applyAlignment="1" applyProtection="1">
      <alignment/>
      <protection/>
    </xf>
    <xf numFmtId="0" fontId="10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99" fillId="0" borderId="0" xfId="0" applyFont="1" applyFill="1" applyBorder="1" applyAlignment="1" applyProtection="1">
      <alignment horizontal="center"/>
      <protection/>
    </xf>
    <xf numFmtId="0" fontId="102" fillId="0" borderId="0" xfId="0" applyFont="1" applyAlignment="1" applyProtection="1">
      <alignment/>
      <protection/>
    </xf>
    <xf numFmtId="0" fontId="100" fillId="0" borderId="0" xfId="0" applyFont="1" applyAlignment="1" applyProtection="1">
      <alignment/>
      <protection/>
    </xf>
    <xf numFmtId="0" fontId="1" fillId="38" borderId="20" xfId="57" applyFont="1" applyFill="1" applyBorder="1" applyAlignment="1" applyProtection="1">
      <alignment horizontal="center"/>
      <protection/>
    </xf>
    <xf numFmtId="0" fontId="1" fillId="0" borderId="43" xfId="57" applyFont="1" applyFill="1" applyBorder="1" applyAlignment="1" applyProtection="1">
      <alignment wrapText="1"/>
      <protection/>
    </xf>
    <xf numFmtId="0" fontId="99" fillId="0" borderId="10" xfId="0" applyFont="1" applyFill="1" applyBorder="1" applyAlignment="1" applyProtection="1">
      <alignment/>
      <protection locked="0"/>
    </xf>
    <xf numFmtId="0" fontId="99" fillId="0" borderId="10" xfId="0" applyFont="1" applyFill="1" applyBorder="1" applyAlignment="1" applyProtection="1">
      <alignment/>
      <protection locked="0"/>
    </xf>
    <xf numFmtId="1" fontId="27" fillId="0" borderId="0" xfId="0" applyNumberFormat="1" applyFont="1" applyFill="1" applyBorder="1" applyAlignment="1" applyProtection="1">
      <alignment horizontal="right"/>
      <protection/>
    </xf>
    <xf numFmtId="0" fontId="0" fillId="0" borderId="0" xfId="0" applyNumberFormat="1" applyBorder="1" applyAlignment="1" applyProtection="1">
      <alignment horizontal="center"/>
      <protection/>
    </xf>
    <xf numFmtId="1" fontId="0" fillId="0" borderId="0" xfId="0" applyNumberFormat="1" applyFont="1" applyFill="1" applyBorder="1" applyAlignment="1" applyProtection="1">
      <alignment horizontal="right"/>
      <protection/>
    </xf>
    <xf numFmtId="0" fontId="100" fillId="0" borderId="0" xfId="0" applyFont="1" applyBorder="1" applyAlignment="1" applyProtection="1">
      <alignment/>
      <protection/>
    </xf>
    <xf numFmtId="1" fontId="0" fillId="0" borderId="22" xfId="0" applyNumberFormat="1" applyFont="1" applyFill="1" applyBorder="1" applyAlignment="1" applyProtection="1">
      <alignment horizontal="right"/>
      <protection/>
    </xf>
    <xf numFmtId="1" fontId="27" fillId="0" borderId="0" xfId="0" applyNumberFormat="1" applyFont="1" applyFill="1" applyBorder="1" applyAlignment="1" applyProtection="1">
      <alignment/>
      <protection/>
    </xf>
    <xf numFmtId="0" fontId="0" fillId="0" borderId="28" xfId="0" applyFont="1" applyBorder="1" applyAlignment="1">
      <alignment horizontal="right"/>
    </xf>
    <xf numFmtId="43" fontId="11" fillId="0" borderId="33" xfId="42" applyFont="1" applyFill="1" applyBorder="1" applyAlignment="1" applyProtection="1">
      <alignment/>
      <protection/>
    </xf>
    <xf numFmtId="43" fontId="11" fillId="0" borderId="30" xfId="42" applyFont="1" applyFill="1" applyBorder="1" applyAlignment="1" applyProtection="1">
      <alignment/>
      <protection/>
    </xf>
    <xf numFmtId="43" fontId="11" fillId="0" borderId="32" xfId="42" applyFont="1" applyFill="1" applyBorder="1" applyAlignment="1" applyProtection="1">
      <alignment/>
      <protection/>
    </xf>
    <xf numFmtId="1" fontId="103" fillId="0" borderId="29" xfId="0" applyNumberFormat="1" applyFont="1" applyFill="1" applyBorder="1" applyAlignment="1" applyProtection="1">
      <alignment horizontal="right" wrapText="1"/>
      <protection/>
    </xf>
    <xf numFmtId="1" fontId="104" fillId="0" borderId="29" xfId="0" applyNumberFormat="1" applyFont="1" applyFill="1" applyBorder="1" applyAlignment="1" applyProtection="1">
      <alignment/>
      <protection/>
    </xf>
    <xf numFmtId="43" fontId="92" fillId="39" borderId="29" xfId="42" applyFont="1" applyFill="1" applyBorder="1" applyAlignment="1">
      <alignment/>
    </xf>
    <xf numFmtId="1" fontId="92" fillId="0" borderId="29" xfId="0" applyNumberFormat="1" applyFont="1" applyBorder="1" applyAlignment="1" applyProtection="1">
      <alignment horizontal="center" wrapText="1"/>
      <protection/>
    </xf>
    <xf numFmtId="43" fontId="105" fillId="0" borderId="29" xfId="42" applyFont="1" applyFill="1" applyBorder="1" applyAlignment="1">
      <alignment/>
    </xf>
    <xf numFmtId="43" fontId="92" fillId="0" borderId="0" xfId="42" applyFont="1" applyFill="1" applyBorder="1" applyAlignment="1">
      <alignment/>
    </xf>
    <xf numFmtId="10" fontId="105" fillId="0" borderId="29" xfId="42" applyNumberFormat="1" applyFont="1" applyFill="1" applyBorder="1" applyAlignment="1">
      <alignment/>
    </xf>
    <xf numFmtId="1" fontId="103" fillId="39" borderId="29" xfId="0" applyNumberFormat="1" applyFont="1" applyFill="1" applyBorder="1" applyAlignment="1" applyProtection="1">
      <alignment horizontal="center" wrapText="1"/>
      <protection/>
    </xf>
    <xf numFmtId="1" fontId="103" fillId="39" borderId="29" xfId="0" applyNumberFormat="1" applyFont="1" applyFill="1" applyBorder="1" applyAlignment="1" applyProtection="1">
      <alignment horizontal="right" wrapText="1"/>
      <protection/>
    </xf>
    <xf numFmtId="43" fontId="105" fillId="39" borderId="29" xfId="42" applyFont="1" applyFill="1" applyBorder="1" applyAlignment="1">
      <alignment/>
    </xf>
    <xf numFmtId="10" fontId="105" fillId="39" borderId="29" xfId="42" applyNumberFormat="1" applyFont="1" applyFill="1" applyBorder="1" applyAlignment="1">
      <alignment/>
    </xf>
    <xf numFmtId="10" fontId="92" fillId="39" borderId="29" xfId="42" applyNumberFormat="1" applyFont="1" applyFill="1" applyBorder="1" applyAlignment="1">
      <alignment/>
    </xf>
    <xf numFmtId="4" fontId="0" fillId="0" borderId="29" xfId="0" applyNumberFormat="1" applyFont="1" applyFill="1" applyBorder="1" applyAlignment="1">
      <alignment/>
    </xf>
    <xf numFmtId="4" fontId="0" fillId="0" borderId="30" xfId="0" applyNumberFormat="1" applyFont="1" applyFill="1" applyBorder="1" applyAlignment="1">
      <alignment/>
    </xf>
    <xf numFmtId="10" fontId="2" fillId="0" borderId="29" xfId="0" applyNumberFormat="1" applyFont="1" applyFill="1" applyBorder="1" applyAlignment="1">
      <alignment/>
    </xf>
    <xf numFmtId="10" fontId="2" fillId="0" borderId="30" xfId="0" applyNumberFormat="1" applyFont="1" applyFill="1" applyBorder="1" applyAlignment="1">
      <alignment/>
    </xf>
    <xf numFmtId="10" fontId="0" fillId="0" borderId="0" xfId="0" applyNumberFormat="1" applyFont="1" applyFill="1" applyBorder="1" applyAlignment="1">
      <alignment/>
    </xf>
    <xf numFmtId="3" fontId="0" fillId="0" borderId="29" xfId="0" applyNumberFormat="1" applyFont="1" applyFill="1" applyBorder="1" applyAlignment="1">
      <alignment/>
    </xf>
    <xf numFmtId="3" fontId="0" fillId="0" borderId="30" xfId="0" applyNumberFormat="1" applyFont="1" applyFill="1" applyBorder="1" applyAlignment="1">
      <alignment/>
    </xf>
    <xf numFmtId="0" fontId="0" fillId="0" borderId="0" xfId="0" applyFont="1" applyFill="1" applyAlignment="1">
      <alignment/>
    </xf>
    <xf numFmtId="43" fontId="2" fillId="0" borderId="29" xfId="42" applyFont="1" applyFill="1" applyBorder="1" applyAlignment="1">
      <alignment/>
    </xf>
    <xf numFmtId="43" fontId="2" fillId="0" borderId="0" xfId="42" applyFont="1" applyFill="1" applyBorder="1" applyAlignment="1">
      <alignment/>
    </xf>
    <xf numFmtId="43" fontId="0" fillId="0" borderId="41" xfId="42" applyFont="1" applyFill="1" applyBorder="1" applyAlignment="1" applyProtection="1">
      <alignment wrapText="1"/>
      <protection/>
    </xf>
    <xf numFmtId="43" fontId="0" fillId="0" borderId="42" xfId="42" applyFont="1" applyFill="1" applyBorder="1" applyAlignment="1" applyProtection="1">
      <alignment wrapText="1"/>
      <protection/>
    </xf>
    <xf numFmtId="43" fontId="0" fillId="0" borderId="0" xfId="42" applyFont="1" applyFill="1" applyBorder="1" applyAlignment="1" applyProtection="1">
      <alignment horizontal="left" vertical="top" wrapText="1"/>
      <protection/>
    </xf>
    <xf numFmtId="43" fontId="0" fillId="0" borderId="42" xfId="42" applyFont="1" applyFill="1" applyBorder="1" applyAlignment="1" applyProtection="1">
      <alignment horizontal="left" vertical="top" wrapText="1"/>
      <protection/>
    </xf>
    <xf numFmtId="0" fontId="99" fillId="0" borderId="0" xfId="0" applyFont="1" applyAlignment="1" applyProtection="1">
      <alignment/>
      <protection/>
    </xf>
    <xf numFmtId="49" fontId="0" fillId="0" borderId="0" xfId="0" applyNumberFormat="1" applyAlignment="1" applyProtection="1">
      <alignment/>
      <protection/>
    </xf>
    <xf numFmtId="43" fontId="99" fillId="0" borderId="0" xfId="42" applyFont="1" applyAlignment="1" applyProtection="1">
      <alignment/>
      <protection/>
    </xf>
    <xf numFmtId="171" fontId="0" fillId="0" borderId="0" xfId="0" applyNumberFormat="1" applyAlignment="1" applyProtection="1">
      <alignment/>
      <protection/>
    </xf>
    <xf numFmtId="171" fontId="0" fillId="0" borderId="0" xfId="0" applyNumberFormat="1" applyAlignment="1" applyProtection="1">
      <alignment horizontal="left"/>
      <protection/>
    </xf>
    <xf numFmtId="172" fontId="0" fillId="0" borderId="0" xfId="0" applyNumberFormat="1" applyFont="1" applyFill="1" applyBorder="1" applyAlignment="1" applyProtection="1">
      <alignment/>
      <protection/>
    </xf>
    <xf numFmtId="1" fontId="2" fillId="0" borderId="31" xfId="0" applyNumberFormat="1" applyFont="1" applyFill="1" applyBorder="1" applyAlignment="1" applyProtection="1">
      <alignment/>
      <protection/>
    </xf>
    <xf numFmtId="172" fontId="0" fillId="0" borderId="0" xfId="0" applyNumberFormat="1" applyAlignment="1" applyProtection="1">
      <alignment/>
      <protection/>
    </xf>
    <xf numFmtId="172" fontId="0" fillId="0" borderId="0" xfId="0" applyNumberFormat="1" applyAlignment="1">
      <alignment/>
    </xf>
    <xf numFmtId="1" fontId="2" fillId="0" borderId="41" xfId="0" applyNumberFormat="1" applyFont="1" applyFill="1" applyBorder="1" applyAlignment="1" applyProtection="1">
      <alignment/>
      <protection/>
    </xf>
    <xf numFmtId="1" fontId="0" fillId="0" borderId="0" xfId="0" applyNumberFormat="1" applyFont="1" applyFill="1" applyAlignment="1" applyProtection="1">
      <alignment horizontal="center" wrapText="1"/>
      <protection/>
    </xf>
    <xf numFmtId="0" fontId="0" fillId="0" borderId="0" xfId="0" applyAlignment="1" applyProtection="1">
      <alignment horizontal="right"/>
      <protection/>
    </xf>
    <xf numFmtId="43" fontId="99" fillId="0" borderId="42" xfId="42" applyFont="1" applyFill="1" applyBorder="1" applyAlignment="1" applyProtection="1">
      <alignment/>
      <protection/>
    </xf>
    <xf numFmtId="43" fontId="21" fillId="0" borderId="30" xfId="42" applyFont="1" applyFill="1" applyBorder="1" applyAlignment="1" applyProtection="1">
      <alignment horizontal="center" wrapText="1"/>
      <protection/>
    </xf>
    <xf numFmtId="43" fontId="21" fillId="0" borderId="30" xfId="42" applyFont="1" applyFill="1" applyBorder="1" applyAlignment="1" applyProtection="1">
      <alignment horizontal="center" wrapText="1"/>
      <protection locked="0"/>
    </xf>
    <xf numFmtId="43" fontId="21" fillId="0" borderId="29" xfId="42" applyFont="1" applyFill="1" applyBorder="1" applyAlignment="1" applyProtection="1">
      <alignment horizontal="center" wrapText="1"/>
      <protection/>
    </xf>
    <xf numFmtId="43" fontId="21" fillId="0" borderId="32" xfId="42" applyFont="1" applyFill="1" applyBorder="1" applyAlignment="1" applyProtection="1">
      <alignment horizontal="center" wrapText="1"/>
      <protection/>
    </xf>
    <xf numFmtId="43" fontId="21" fillId="0" borderId="32" xfId="42" applyFont="1" applyFill="1" applyBorder="1" applyAlignment="1" applyProtection="1">
      <alignment horizontal="center" wrapText="1"/>
      <protection locked="0"/>
    </xf>
    <xf numFmtId="43" fontId="21" fillId="0" borderId="44" xfId="42" applyFont="1" applyFill="1" applyBorder="1" applyAlignment="1" applyProtection="1">
      <alignment horizontal="center" wrapText="1"/>
      <protection/>
    </xf>
    <xf numFmtId="43" fontId="21" fillId="0" borderId="25" xfId="42" applyFont="1" applyFill="1" applyBorder="1" applyAlignment="1" applyProtection="1">
      <alignment horizontal="center" wrapText="1"/>
      <protection locked="0"/>
    </xf>
    <xf numFmtId="43" fontId="21" fillId="0" borderId="33" xfId="42" applyFont="1" applyFill="1" applyBorder="1" applyAlignment="1" applyProtection="1">
      <alignment horizontal="center" wrapText="1"/>
      <protection/>
    </xf>
    <xf numFmtId="4" fontId="106" fillId="0" borderId="0" xfId="0" applyNumberFormat="1" applyFont="1" applyFill="1" applyAlignment="1" applyProtection="1">
      <alignment wrapText="1"/>
      <protection/>
    </xf>
    <xf numFmtId="4" fontId="106" fillId="0" borderId="23" xfId="0" applyNumberFormat="1" applyFont="1" applyFill="1" applyBorder="1" applyAlignment="1" applyProtection="1">
      <alignment wrapText="1"/>
      <protection/>
    </xf>
    <xf numFmtId="1" fontId="2" fillId="0" borderId="45" xfId="0" applyNumberFormat="1" applyFont="1" applyFill="1" applyBorder="1" applyAlignment="1" applyProtection="1">
      <alignment horizontal="center" wrapText="1"/>
      <protection/>
    </xf>
    <xf numFmtId="43" fontId="21" fillId="0" borderId="29" xfId="42" applyFont="1" applyFill="1" applyBorder="1" applyAlignment="1" applyProtection="1">
      <alignment horizontal="right" wrapText="1"/>
      <protection/>
    </xf>
    <xf numFmtId="168" fontId="21" fillId="0" borderId="29" xfId="60" applyNumberFormat="1" applyFont="1" applyFill="1" applyBorder="1" applyAlignment="1" applyProtection="1">
      <alignment horizontal="center" wrapText="1"/>
      <protection/>
    </xf>
    <xf numFmtId="0" fontId="0" fillId="0" borderId="29" xfId="0" applyBorder="1" applyAlignment="1" applyProtection="1">
      <alignment horizontal="right"/>
      <protection/>
    </xf>
    <xf numFmtId="0" fontId="0" fillId="0" borderId="29" xfId="0" applyFill="1" applyBorder="1" applyAlignment="1" applyProtection="1">
      <alignment horizontal="right"/>
      <protection/>
    </xf>
    <xf numFmtId="43" fontId="0" fillId="0" borderId="27" xfId="42" applyFont="1" applyFill="1" applyBorder="1" applyAlignment="1" applyProtection="1">
      <alignment horizontal="center"/>
      <protection/>
    </xf>
    <xf numFmtId="4" fontId="0" fillId="0" borderId="29" xfId="42" applyNumberFormat="1" applyFont="1" applyFill="1" applyBorder="1" applyAlignment="1" applyProtection="1">
      <alignment horizontal="center"/>
      <protection/>
    </xf>
    <xf numFmtId="3" fontId="0" fillId="0" borderId="30" xfId="0" applyNumberFormat="1" applyFont="1" applyFill="1" applyBorder="1" applyAlignment="1" applyProtection="1">
      <alignment horizontal="center" wrapText="1"/>
      <protection/>
    </xf>
    <xf numFmtId="2" fontId="0" fillId="0" borderId="10" xfId="42" applyNumberFormat="1" applyFont="1" applyFill="1" applyBorder="1" applyAlignment="1" applyProtection="1">
      <alignment/>
      <protection/>
    </xf>
    <xf numFmtId="10" fontId="0" fillId="0" borderId="32" xfId="60" applyNumberFormat="1" applyFont="1" applyFill="1" applyBorder="1" applyAlignment="1" applyProtection="1">
      <alignment/>
      <protection/>
    </xf>
    <xf numFmtId="10" fontId="0" fillId="0" borderId="27" xfId="60" applyNumberFormat="1" applyFont="1" applyFill="1" applyBorder="1" applyAlignment="1" applyProtection="1" quotePrefix="1">
      <alignment/>
      <protection/>
    </xf>
    <xf numFmtId="43" fontId="0" fillId="0" borderId="0" xfId="42" applyFont="1" applyFill="1" applyAlignment="1" applyProtection="1">
      <alignment wrapText="1"/>
      <protection/>
    </xf>
    <xf numFmtId="0" fontId="0" fillId="0" borderId="0" xfId="0" applyFont="1" applyAlignment="1" applyProtection="1">
      <alignment horizontal="right"/>
      <protection/>
    </xf>
    <xf numFmtId="0" fontId="99" fillId="0" borderId="0" xfId="0" applyFont="1" applyBorder="1" applyAlignment="1" applyProtection="1">
      <alignment horizontal="left"/>
      <protection/>
    </xf>
    <xf numFmtId="1" fontId="2" fillId="0" borderId="42" xfId="0" applyNumberFormat="1" applyFont="1" applyFill="1" applyBorder="1" applyAlignment="1" applyProtection="1">
      <alignment horizontal="center"/>
      <protection/>
    </xf>
    <xf numFmtId="1" fontId="2" fillId="0" borderId="41" xfId="0" applyNumberFormat="1" applyFont="1" applyFill="1" applyBorder="1" applyAlignment="1" applyProtection="1">
      <alignment horizontal="center"/>
      <protection/>
    </xf>
    <xf numFmtId="0" fontId="0" fillId="0" borderId="10" xfId="0" applyBorder="1" applyAlignment="1">
      <alignment/>
    </xf>
    <xf numFmtId="0" fontId="0" fillId="0" borderId="0" xfId="0" applyFont="1" applyBorder="1" applyAlignment="1" applyProtection="1">
      <alignment/>
      <protection/>
    </xf>
    <xf numFmtId="49" fontId="0" fillId="0" borderId="0" xfId="0" applyNumberFormat="1" applyFont="1" applyFill="1" applyAlignment="1" applyProtection="1">
      <alignment/>
      <protection/>
    </xf>
    <xf numFmtId="0" fontId="99" fillId="0" borderId="10" xfId="0"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Font="1" applyAlignment="1" applyProtection="1">
      <alignment horizontal="right"/>
      <protection/>
    </xf>
    <xf numFmtId="165" fontId="0" fillId="0" borderId="0" xfId="42" applyNumberFormat="1" applyFont="1" applyAlignment="1" applyProtection="1">
      <alignment horizontal="right"/>
      <protection/>
    </xf>
    <xf numFmtId="43" fontId="99" fillId="0" borderId="0" xfId="42" applyFont="1" applyFill="1" applyBorder="1" applyAlignment="1" applyProtection="1" quotePrefix="1">
      <alignment/>
      <protection/>
    </xf>
    <xf numFmtId="0" fontId="98" fillId="0" borderId="0" xfId="0" applyFont="1" applyFill="1" applyAlignment="1">
      <alignment horizontal="center"/>
    </xf>
    <xf numFmtId="0" fontId="0" fillId="0" borderId="42" xfId="0" applyFill="1" applyBorder="1" applyAlignment="1" applyProtection="1">
      <alignment/>
      <protection/>
    </xf>
    <xf numFmtId="1" fontId="107" fillId="0" borderId="42" xfId="0" applyNumberFormat="1" applyFont="1" applyFill="1" applyBorder="1" applyAlignment="1" applyProtection="1">
      <alignment wrapText="1"/>
      <protection/>
    </xf>
    <xf numFmtId="0" fontId="0" fillId="0" borderId="0" xfId="0" applyFont="1" applyFill="1" applyAlignment="1" applyProtection="1">
      <alignment horizontal="right"/>
      <protection/>
    </xf>
    <xf numFmtId="1" fontId="0" fillId="0" borderId="30" xfId="0" applyNumberFormat="1" applyFont="1" applyFill="1" applyBorder="1" applyAlignment="1" applyProtection="1">
      <alignment horizontal="right" wrapText="1"/>
      <protection locked="0"/>
    </xf>
    <xf numFmtId="2" fontId="0" fillId="0" borderId="10" xfId="0" applyNumberFormat="1" applyFont="1" applyBorder="1" applyAlignment="1" applyProtection="1">
      <alignment/>
      <protection/>
    </xf>
    <xf numFmtId="9" fontId="0" fillId="0" borderId="0" xfId="60" applyFont="1" applyBorder="1" applyAlignment="1" applyProtection="1" quotePrefix="1">
      <alignment horizontal="left"/>
      <protection/>
    </xf>
    <xf numFmtId="1" fontId="2" fillId="0" borderId="0" xfId="0" applyNumberFormat="1" applyFont="1" applyFill="1" applyBorder="1" applyAlignment="1" applyProtection="1">
      <alignment horizontal="left" wrapText="1"/>
      <protection/>
    </xf>
    <xf numFmtId="0" fontId="0" fillId="0" borderId="29" xfId="0" applyFont="1" applyBorder="1" applyAlignment="1">
      <alignment horizontal="center" wrapText="1"/>
    </xf>
    <xf numFmtId="1" fontId="2" fillId="0" borderId="29" xfId="0" applyNumberFormat="1" applyFont="1" applyFill="1" applyBorder="1" applyAlignment="1" applyProtection="1">
      <alignment horizontal="center" wrapText="1"/>
      <protection/>
    </xf>
    <xf numFmtId="165" fontId="21" fillId="0" borderId="29" xfId="42" applyNumberFormat="1" applyFont="1" applyFill="1" applyBorder="1" applyAlignment="1" applyProtection="1">
      <alignment horizontal="right" wrapText="1"/>
      <protection locked="0"/>
    </xf>
    <xf numFmtId="4" fontId="0" fillId="0" borderId="0" xfId="0" applyNumberFormat="1" applyFont="1" applyFill="1" applyAlignment="1" applyProtection="1">
      <alignment/>
      <protection/>
    </xf>
    <xf numFmtId="1" fontId="106" fillId="0" borderId="23" xfId="0" applyNumberFormat="1" applyFont="1" applyFill="1" applyBorder="1" applyAlignment="1" applyProtection="1">
      <alignment/>
      <protection/>
    </xf>
    <xf numFmtId="4" fontId="98" fillId="0" borderId="0" xfId="0" applyNumberFormat="1" applyFont="1" applyFill="1" applyAlignment="1" applyProtection="1">
      <alignment wrapText="1"/>
      <protection/>
    </xf>
    <xf numFmtId="43" fontId="98" fillId="0" borderId="0" xfId="42" applyFont="1" applyFill="1" applyAlignment="1" applyProtection="1">
      <alignment wrapText="1"/>
      <protection/>
    </xf>
    <xf numFmtId="4" fontId="98" fillId="0" borderId="0" xfId="0" applyNumberFormat="1" applyFont="1" applyFill="1" applyAlignment="1" applyProtection="1">
      <alignment horizontal="right" wrapText="1"/>
      <protection/>
    </xf>
    <xf numFmtId="9" fontId="98" fillId="0" borderId="0" xfId="60" applyFont="1" applyFill="1" applyAlignment="1" applyProtection="1">
      <alignment wrapText="1"/>
      <protection/>
    </xf>
    <xf numFmtId="1" fontId="0" fillId="0" borderId="0" xfId="0" applyNumberFormat="1" applyFont="1" applyFill="1" applyAlignment="1" applyProtection="1">
      <alignment/>
      <protection/>
    </xf>
    <xf numFmtId="1" fontId="0" fillId="0" borderId="0" xfId="0" applyNumberFormat="1" applyFont="1" applyFill="1" applyAlignment="1" applyProtection="1" quotePrefix="1">
      <alignment/>
      <protection/>
    </xf>
    <xf numFmtId="165" fontId="0" fillId="0" borderId="29" xfId="42" applyNumberFormat="1" applyFont="1" applyFill="1" applyBorder="1" applyAlignment="1" applyProtection="1">
      <alignment wrapText="1"/>
      <protection locked="0"/>
    </xf>
    <xf numFmtId="43" fontId="0" fillId="0" borderId="29" xfId="42" applyFont="1" applyFill="1" applyBorder="1" applyAlignment="1" applyProtection="1">
      <alignment wrapText="1"/>
      <protection/>
    </xf>
    <xf numFmtId="165" fontId="11" fillId="40" borderId="29" xfId="42" applyNumberFormat="1" applyFont="1" applyFill="1" applyBorder="1" applyAlignment="1" applyProtection="1" quotePrefix="1">
      <alignment horizontal="center"/>
      <protection locked="0"/>
    </xf>
    <xf numFmtId="4" fontId="0" fillId="0" borderId="32" xfId="0" applyNumberFormat="1" applyFont="1" applyFill="1" applyBorder="1" applyAlignment="1" applyProtection="1">
      <alignment horizontal="center" wrapText="1"/>
      <protection/>
    </xf>
    <xf numFmtId="0" fontId="8" fillId="0" borderId="16" xfId="0" applyFont="1" applyFill="1" applyBorder="1" applyAlignment="1" applyProtection="1">
      <alignment horizontal="center" vertical="top" wrapText="1"/>
      <protection/>
    </xf>
    <xf numFmtId="4" fontId="0" fillId="0" borderId="28" xfId="0" applyNumberFormat="1" applyFont="1" applyFill="1" applyBorder="1" applyAlignment="1" applyProtection="1">
      <alignment horizontal="center" wrapText="1"/>
      <protection locked="0"/>
    </xf>
    <xf numFmtId="1" fontId="0" fillId="0" borderId="42" xfId="0" applyNumberFormat="1" applyFont="1" applyFill="1" applyBorder="1" applyAlignment="1" applyProtection="1">
      <alignment wrapText="1"/>
      <protection/>
    </xf>
    <xf numFmtId="0" fontId="0" fillId="0" borderId="0" xfId="0" applyFont="1" applyAlignment="1" applyProtection="1">
      <alignment horizontal="center" wrapText="1"/>
      <protection/>
    </xf>
    <xf numFmtId="168" fontId="108" fillId="0" borderId="41" xfId="60" applyNumberFormat="1" applyFont="1" applyFill="1" applyBorder="1" applyAlignment="1" applyProtection="1">
      <alignment horizontal="center" wrapText="1"/>
      <protection/>
    </xf>
    <xf numFmtId="168" fontId="108" fillId="0" borderId="0" xfId="60" applyNumberFormat="1" applyFont="1" applyFill="1" applyAlignment="1" applyProtection="1">
      <alignment horizontal="center"/>
      <protection/>
    </xf>
    <xf numFmtId="1" fontId="108" fillId="0" borderId="29" xfId="0" applyNumberFormat="1" applyFont="1" applyFill="1" applyBorder="1" applyAlignment="1" applyProtection="1">
      <alignment horizontal="right" wrapText="1"/>
      <protection/>
    </xf>
    <xf numFmtId="168" fontId="108" fillId="0" borderId="29" xfId="60" applyNumberFormat="1" applyFont="1" applyFill="1" applyBorder="1" applyAlignment="1" applyProtection="1">
      <alignment horizontal="center"/>
      <protection/>
    </xf>
    <xf numFmtId="49" fontId="11" fillId="0" borderId="0" xfId="42" applyNumberFormat="1" applyFont="1" applyFill="1" applyBorder="1" applyAlignment="1" applyProtection="1">
      <alignment/>
      <protection/>
    </xf>
    <xf numFmtId="165" fontId="0" fillId="0" borderId="29" xfId="42" applyNumberFormat="1" applyFont="1" applyFill="1" applyBorder="1" applyAlignment="1" applyProtection="1">
      <alignment horizontal="center"/>
      <protection/>
    </xf>
    <xf numFmtId="0" fontId="18" fillId="0" borderId="0" xfId="0" applyFont="1" applyAlignment="1" applyProtection="1">
      <alignment horizontal="center"/>
      <protection/>
    </xf>
    <xf numFmtId="0" fontId="0" fillId="0" borderId="0" xfId="0" applyAlignment="1" applyProtection="1">
      <alignment/>
      <protection locked="0"/>
    </xf>
    <xf numFmtId="0" fontId="0" fillId="0" borderId="0" xfId="0" applyFont="1" applyAlignment="1" applyProtection="1">
      <alignment vertical="top" wrapText="1"/>
      <protection/>
    </xf>
    <xf numFmtId="2" fontId="0" fillId="0" borderId="10" xfId="0" applyNumberFormat="1" applyFill="1" applyBorder="1" applyAlignment="1" applyProtection="1">
      <alignment/>
      <protection/>
    </xf>
    <xf numFmtId="0" fontId="0" fillId="0" borderId="0" xfId="0" applyAlignment="1" applyProtection="1">
      <alignment horizontal="right"/>
      <protection/>
    </xf>
    <xf numFmtId="49" fontId="0" fillId="0" borderId="41" xfId="0" applyNumberFormat="1" applyFont="1" applyBorder="1" applyAlignment="1" applyProtection="1">
      <alignment horizontal="center"/>
      <protection locked="0"/>
    </xf>
    <xf numFmtId="0" fontId="0" fillId="0" borderId="31" xfId="0" applyFont="1" applyBorder="1" applyAlignment="1" applyProtection="1">
      <alignment horizontal="center"/>
      <protection locked="0"/>
    </xf>
    <xf numFmtId="0" fontId="99" fillId="0" borderId="10" xfId="0" applyFont="1" applyBorder="1" applyAlignment="1" applyProtection="1">
      <alignment horizontal="left"/>
      <protection locked="0"/>
    </xf>
    <xf numFmtId="0" fontId="99" fillId="0" borderId="42" xfId="0" applyFont="1" applyFill="1" applyBorder="1" applyAlignment="1" applyProtection="1">
      <alignment horizontal="left"/>
      <protection locked="0"/>
    </xf>
    <xf numFmtId="0" fontId="99" fillId="0" borderId="10" xfId="0" applyFont="1" applyFill="1" applyBorder="1" applyAlignment="1" applyProtection="1">
      <alignment horizontal="left"/>
      <protection locked="0"/>
    </xf>
    <xf numFmtId="0" fontId="99" fillId="0" borderId="42" xfId="0" applyFont="1" applyBorder="1" applyAlignment="1" applyProtection="1">
      <alignment horizontal="left"/>
      <protection locked="0"/>
    </xf>
    <xf numFmtId="0" fontId="0" fillId="0" borderId="0" xfId="0" applyFont="1" applyAlignment="1" applyProtection="1">
      <alignment horizontal="right"/>
      <protection/>
    </xf>
    <xf numFmtId="0" fontId="99" fillId="0" borderId="10" xfId="0" applyFont="1" applyBorder="1" applyAlignment="1" applyProtection="1" quotePrefix="1">
      <alignment horizontal="left"/>
      <protection locked="0"/>
    </xf>
    <xf numFmtId="0" fontId="3" fillId="0" borderId="0" xfId="0" applyFont="1" applyAlignment="1" applyProtection="1">
      <alignment horizontal="center"/>
      <protection/>
    </xf>
    <xf numFmtId="0" fontId="99" fillId="0" borderId="10" xfId="0" applyFont="1" applyFill="1" applyBorder="1" applyAlignment="1" applyProtection="1">
      <alignment horizontal="center"/>
      <protection locked="0"/>
    </xf>
    <xf numFmtId="0" fontId="0" fillId="0" borderId="0" xfId="0" applyFont="1" applyAlignment="1" applyProtection="1">
      <alignment horizontal="right"/>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99" fillId="0" borderId="10" xfId="0" applyFont="1" applyBorder="1" applyAlignment="1" applyProtection="1">
      <alignment horizontal="left" wrapText="1"/>
      <protection locked="0"/>
    </xf>
    <xf numFmtId="0" fontId="109" fillId="0" borderId="0" xfId="0" applyFont="1" applyFill="1" applyAlignment="1" applyProtection="1">
      <alignment horizontal="center"/>
      <protection/>
    </xf>
    <xf numFmtId="1" fontId="18" fillId="0" borderId="41" xfId="0" applyNumberFormat="1" applyFont="1" applyFill="1" applyBorder="1" applyAlignment="1" applyProtection="1">
      <alignment horizontal="center"/>
      <protection/>
    </xf>
    <xf numFmtId="1" fontId="18" fillId="0" borderId="42" xfId="0" applyNumberFormat="1" applyFont="1" applyFill="1" applyBorder="1" applyAlignment="1" applyProtection="1">
      <alignment horizontal="center"/>
      <protection/>
    </xf>
    <xf numFmtId="1" fontId="2" fillId="0" borderId="41" xfId="60" applyNumberFormat="1" applyFont="1" applyFill="1" applyBorder="1" applyAlignment="1" applyProtection="1">
      <alignment horizontal="center" wrapText="1"/>
      <protection/>
    </xf>
    <xf numFmtId="1" fontId="2" fillId="0" borderId="42" xfId="60" applyNumberFormat="1" applyFont="1" applyFill="1" applyBorder="1" applyAlignment="1" applyProtection="1">
      <alignment horizontal="center" wrapText="1"/>
      <protection/>
    </xf>
    <xf numFmtId="0" fontId="99" fillId="0" borderId="41" xfId="0" applyNumberFormat="1" applyFont="1" applyFill="1" applyBorder="1" applyAlignment="1" applyProtection="1" quotePrefix="1">
      <alignment horizontal="left"/>
      <protection/>
    </xf>
    <xf numFmtId="0" fontId="99" fillId="0" borderId="42" xfId="0" applyNumberFormat="1" applyFont="1" applyFill="1" applyBorder="1" applyAlignment="1" applyProtection="1">
      <alignment horizontal="left"/>
      <protection/>
    </xf>
    <xf numFmtId="0" fontId="99" fillId="0" borderId="31" xfId="0" applyNumberFormat="1" applyFont="1" applyFill="1" applyBorder="1" applyAlignment="1" applyProtection="1">
      <alignment horizontal="left"/>
      <protection/>
    </xf>
    <xf numFmtId="1" fontId="0" fillId="0" borderId="42" xfId="0" applyNumberFormat="1" applyFont="1" applyFill="1" applyBorder="1" applyAlignment="1" applyProtection="1">
      <alignment horizontal="right" wrapText="1"/>
      <protection/>
    </xf>
    <xf numFmtId="1" fontId="0" fillId="0" borderId="41" xfId="60" applyNumberFormat="1" applyFont="1" applyFill="1" applyBorder="1" applyAlignment="1" applyProtection="1">
      <alignment horizontal="right"/>
      <protection/>
    </xf>
    <xf numFmtId="1" fontId="0" fillId="0" borderId="42" xfId="60" applyNumberFormat="1" applyFont="1" applyFill="1" applyBorder="1" applyAlignment="1" applyProtection="1">
      <alignment horizontal="right"/>
      <protection/>
    </xf>
    <xf numFmtId="43" fontId="99" fillId="0" borderId="42" xfId="42" applyFont="1" applyFill="1" applyBorder="1" applyAlignment="1" applyProtection="1">
      <alignment wrapText="1"/>
      <protection/>
    </xf>
    <xf numFmtId="1" fontId="2" fillId="0" borderId="25" xfId="0" applyNumberFormat="1" applyFont="1" applyFill="1" applyBorder="1" applyAlignment="1" applyProtection="1">
      <alignment horizontal="left" wrapText="1"/>
      <protection/>
    </xf>
    <xf numFmtId="1" fontId="2" fillId="0" borderId="0" xfId="0" applyNumberFormat="1" applyFont="1" applyFill="1" applyBorder="1" applyAlignment="1" applyProtection="1">
      <alignment horizontal="left" wrapText="1"/>
      <protection/>
    </xf>
    <xf numFmtId="1" fontId="2" fillId="0" borderId="28" xfId="0" applyNumberFormat="1" applyFont="1" applyFill="1" applyBorder="1" applyAlignment="1" applyProtection="1">
      <alignment horizontal="left" vertical="top" wrapText="1"/>
      <protection/>
    </xf>
    <xf numFmtId="1" fontId="2" fillId="0" borderId="10" xfId="0" applyNumberFormat="1" applyFont="1" applyFill="1" applyBorder="1" applyAlignment="1" applyProtection="1">
      <alignment horizontal="left" vertical="top" wrapText="1"/>
      <protection/>
    </xf>
    <xf numFmtId="1" fontId="2" fillId="0" borderId="27" xfId="0" applyNumberFormat="1" applyFont="1" applyFill="1" applyBorder="1" applyAlignment="1" applyProtection="1">
      <alignment horizontal="left" vertical="top" wrapText="1"/>
      <protection/>
    </xf>
    <xf numFmtId="1" fontId="2" fillId="0" borderId="25" xfId="0" applyNumberFormat="1" applyFont="1" applyFill="1" applyBorder="1" applyAlignment="1" applyProtection="1">
      <alignment horizontal="center" wrapText="1"/>
      <protection/>
    </xf>
    <xf numFmtId="1" fontId="2" fillId="0" borderId="0" xfId="0" applyNumberFormat="1" applyFont="1" applyFill="1" applyBorder="1" applyAlignment="1" applyProtection="1">
      <alignment horizontal="center" wrapText="1"/>
      <protection/>
    </xf>
    <xf numFmtId="1" fontId="2" fillId="0" borderId="41" xfId="0" applyNumberFormat="1" applyFont="1" applyFill="1" applyBorder="1" applyAlignment="1" applyProtection="1">
      <alignment horizontal="center" wrapText="1"/>
      <protection/>
    </xf>
    <xf numFmtId="1" fontId="2" fillId="0" borderId="42" xfId="0" applyNumberFormat="1" applyFont="1" applyFill="1" applyBorder="1" applyAlignment="1" applyProtection="1">
      <alignment horizontal="center" wrapText="1"/>
      <protection/>
    </xf>
    <xf numFmtId="1" fontId="2" fillId="0" borderId="28" xfId="0" applyNumberFormat="1" applyFont="1" applyFill="1" applyBorder="1" applyAlignment="1" applyProtection="1">
      <alignment horizontal="center" wrapText="1"/>
      <protection/>
    </xf>
    <xf numFmtId="1" fontId="2" fillId="0" borderId="10" xfId="0" applyNumberFormat="1" applyFont="1" applyFill="1" applyBorder="1" applyAlignment="1" applyProtection="1">
      <alignment horizontal="center" wrapText="1"/>
      <protection/>
    </xf>
    <xf numFmtId="1" fontId="2" fillId="0" borderId="27" xfId="0" applyNumberFormat="1" applyFont="1" applyFill="1" applyBorder="1" applyAlignment="1" applyProtection="1">
      <alignment horizontal="center" wrapText="1"/>
      <protection/>
    </xf>
    <xf numFmtId="0" fontId="2" fillId="0" borderId="41" xfId="0" applyFont="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3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0" xfId="0" applyFont="1" applyAlignment="1" applyProtection="1">
      <alignment horizontal="left" vertical="top" wrapText="1"/>
      <protection/>
    </xf>
    <xf numFmtId="0" fontId="18" fillId="0" borderId="0" xfId="0" applyFont="1" applyAlignment="1" applyProtection="1">
      <alignment horizontal="center"/>
      <protection/>
    </xf>
    <xf numFmtId="0" fontId="2" fillId="0" borderId="41" xfId="0" applyFont="1" applyBorder="1" applyAlignment="1" applyProtection="1">
      <alignment horizontal="left"/>
      <protection/>
    </xf>
    <xf numFmtId="0" fontId="2" fillId="0" borderId="42" xfId="0" applyFont="1" applyBorder="1" applyAlignment="1" applyProtection="1">
      <alignment horizontal="left"/>
      <protection/>
    </xf>
    <xf numFmtId="0" fontId="2" fillId="0" borderId="31" xfId="0" applyFont="1" applyBorder="1" applyAlignment="1" applyProtection="1">
      <alignment horizontal="left"/>
      <protection/>
    </xf>
    <xf numFmtId="0" fontId="0" fillId="0" borderId="2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43" fontId="99" fillId="0" borderId="0" xfId="42" applyFont="1" applyAlignment="1" applyProtection="1">
      <alignment horizontal="left"/>
      <protection/>
    </xf>
    <xf numFmtId="43" fontId="99" fillId="0" borderId="0" xfId="42" applyFont="1" applyFill="1" applyBorder="1" applyAlignment="1" applyProtection="1" quotePrefix="1">
      <alignment horizontal="left"/>
      <protection/>
    </xf>
    <xf numFmtId="43" fontId="99" fillId="0" borderId="0" xfId="42" applyFont="1" applyFill="1" applyBorder="1" applyAlignment="1" applyProtection="1">
      <alignment horizontal="left"/>
      <protection/>
    </xf>
    <xf numFmtId="0" fontId="0" fillId="0" borderId="41" xfId="0" applyFont="1" applyBorder="1" applyAlignment="1">
      <alignment horizontal="center" wrapText="1"/>
    </xf>
    <xf numFmtId="0" fontId="0" fillId="0" borderId="31" xfId="0" applyFont="1" applyBorder="1" applyAlignment="1">
      <alignment horizontal="center" wrapText="1"/>
    </xf>
    <xf numFmtId="10" fontId="0" fillId="0" borderId="41" xfId="60" applyNumberFormat="1" applyFont="1" applyBorder="1" applyAlignment="1">
      <alignment horizontal="center"/>
    </xf>
    <xf numFmtId="10" fontId="0" fillId="0" borderId="31" xfId="60" applyNumberFormat="1" applyFont="1" applyBorder="1" applyAlignment="1">
      <alignment horizontal="center"/>
    </xf>
    <xf numFmtId="10" fontId="0" fillId="0" borderId="29" xfId="42" applyNumberFormat="1" applyFont="1" applyBorder="1" applyAlignment="1">
      <alignment horizontal="center"/>
    </xf>
    <xf numFmtId="10" fontId="92" fillId="0" borderId="41" xfId="60" applyNumberFormat="1" applyFont="1" applyBorder="1" applyAlignment="1">
      <alignment horizontal="center"/>
    </xf>
    <xf numFmtId="10" fontId="92" fillId="0" borderId="31" xfId="60" applyNumberFormat="1" applyFont="1" applyBorder="1" applyAlignment="1">
      <alignment horizontal="center"/>
    </xf>
    <xf numFmtId="10" fontId="92" fillId="0" borderId="29" xfId="42" applyNumberFormat="1" applyFont="1" applyBorder="1" applyAlignment="1">
      <alignment horizontal="center"/>
    </xf>
    <xf numFmtId="0" fontId="0" fillId="0" borderId="29" xfId="0" applyFont="1" applyBorder="1" applyAlignment="1">
      <alignment horizontal="center" wrapText="1"/>
    </xf>
    <xf numFmtId="0" fontId="0" fillId="0" borderId="0" xfId="0" applyFont="1" applyAlignment="1">
      <alignment horizontal="left" wrapText="1"/>
    </xf>
    <xf numFmtId="0" fontId="0" fillId="0" borderId="0" xfId="0" applyFont="1" applyAlignment="1">
      <alignment horizontal="left" wrapText="1"/>
    </xf>
    <xf numFmtId="1" fontId="0" fillId="0" borderId="0" xfId="0" applyNumberFormat="1" applyFont="1" applyFill="1" applyBorder="1" applyAlignment="1" applyProtection="1">
      <alignment horizontal="justify" wrapText="1"/>
      <protection/>
    </xf>
    <xf numFmtId="0" fontId="0" fillId="0" borderId="29" xfId="0" applyFont="1" applyBorder="1" applyAlignment="1">
      <alignment horizontal="center"/>
    </xf>
    <xf numFmtId="0" fontId="0" fillId="0" borderId="29" xfId="0"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1" fontId="0" fillId="0" borderId="0" xfId="0" applyNumberFormat="1" applyFont="1" applyFill="1" applyBorder="1" applyAlignment="1" applyProtection="1">
      <alignment horizontal="justify" vertical="top" wrapText="1"/>
      <protection/>
    </xf>
    <xf numFmtId="1" fontId="2" fillId="0" borderId="0" xfId="0" applyNumberFormat="1" applyFont="1" applyFill="1" applyBorder="1" applyAlignment="1" applyProtection="1">
      <alignment horizontal="left" vertical="top" wrapText="1"/>
      <protection/>
    </xf>
    <xf numFmtId="3" fontId="0" fillId="0" borderId="29" xfId="0" applyNumberFormat="1" applyFont="1" applyFill="1" applyBorder="1" applyAlignment="1">
      <alignment horizontal="center"/>
    </xf>
    <xf numFmtId="0" fontId="0" fillId="0" borderId="29" xfId="0" applyFont="1" applyFill="1" applyBorder="1" applyAlignment="1">
      <alignment/>
    </xf>
    <xf numFmtId="10" fontId="0" fillId="0" borderId="29" xfId="0" applyNumberFormat="1" applyFont="1" applyFill="1" applyBorder="1" applyAlignment="1">
      <alignment horizontal="center"/>
    </xf>
    <xf numFmtId="4" fontId="0" fillId="0" borderId="29" xfId="0" applyNumberFormat="1" applyFont="1" applyFill="1" applyBorder="1" applyAlignment="1">
      <alignment horizontal="center"/>
    </xf>
    <xf numFmtId="10" fontId="105" fillId="39" borderId="41" xfId="42" applyNumberFormat="1" applyFont="1" applyFill="1" applyBorder="1" applyAlignment="1">
      <alignment horizontal="center"/>
    </xf>
    <xf numFmtId="10" fontId="105" fillId="39" borderId="31" xfId="42" applyNumberFormat="1" applyFont="1" applyFill="1" applyBorder="1" applyAlignment="1">
      <alignment horizontal="center"/>
    </xf>
    <xf numFmtId="10" fontId="105" fillId="0" borderId="29" xfId="42" applyNumberFormat="1" applyFont="1" applyFill="1" applyBorder="1" applyAlignment="1">
      <alignment horizontal="center"/>
    </xf>
    <xf numFmtId="0" fontId="18" fillId="0" borderId="0" xfId="0" applyFont="1" applyAlignment="1">
      <alignment horizontal="center"/>
    </xf>
    <xf numFmtId="10" fontId="92" fillId="39" borderId="41" xfId="42" applyNumberFormat="1" applyFont="1" applyFill="1" applyBorder="1" applyAlignment="1">
      <alignment horizontal="center"/>
    </xf>
    <xf numFmtId="10" fontId="92" fillId="39" borderId="31" xfId="42" applyNumberFormat="1" applyFont="1" applyFill="1" applyBorder="1" applyAlignment="1">
      <alignment horizontal="center"/>
    </xf>
    <xf numFmtId="1" fontId="0" fillId="0" borderId="41" xfId="0" applyNumberFormat="1" applyFont="1" applyFill="1" applyBorder="1" applyAlignment="1" applyProtection="1">
      <alignment horizontal="center" wrapText="1"/>
      <protection/>
    </xf>
    <xf numFmtId="1" fontId="0" fillId="0" borderId="42" xfId="0" applyNumberFormat="1" applyFont="1" applyFill="1" applyBorder="1" applyAlignment="1" applyProtection="1">
      <alignment horizontal="center" wrapText="1"/>
      <protection/>
    </xf>
    <xf numFmtId="1" fontId="0" fillId="0" borderId="31" xfId="0" applyNumberFormat="1" applyFont="1" applyFill="1" applyBorder="1" applyAlignment="1" applyProtection="1">
      <alignment horizontal="center" wrapText="1"/>
      <protection/>
    </xf>
    <xf numFmtId="2" fontId="0" fillId="0" borderId="22" xfId="0" applyNumberFormat="1" applyFont="1" applyFill="1" applyBorder="1" applyAlignment="1" applyProtection="1">
      <alignment horizontal="center"/>
      <protection/>
    </xf>
    <xf numFmtId="2" fontId="0" fillId="0" borderId="25" xfId="0" applyNumberFormat="1" applyFont="1" applyFill="1" applyBorder="1" applyAlignment="1" applyProtection="1">
      <alignment horizontal="center"/>
      <protection/>
    </xf>
    <xf numFmtId="1" fontId="0" fillId="0" borderId="33" xfId="60" applyNumberFormat="1" applyFont="1" applyFill="1" applyBorder="1" applyAlignment="1" applyProtection="1">
      <alignment horizontal="center" wrapText="1"/>
      <protection/>
    </xf>
    <xf numFmtId="1" fontId="0" fillId="0" borderId="30" xfId="60" applyNumberFormat="1" applyFont="1" applyFill="1" applyBorder="1" applyAlignment="1" applyProtection="1">
      <alignment horizontal="center" wrapText="1"/>
      <protection/>
    </xf>
    <xf numFmtId="1" fontId="3" fillId="0" borderId="23"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0" fontId="110" fillId="0" borderId="23" xfId="0" applyFont="1" applyFill="1" applyBorder="1" applyAlignment="1" applyProtection="1">
      <alignment horizontal="center" vertical="center"/>
      <protection/>
    </xf>
    <xf numFmtId="0" fontId="110" fillId="0" borderId="10" xfId="0" applyFont="1" applyFill="1" applyBorder="1" applyAlignment="1" applyProtection="1">
      <alignment horizontal="center" vertical="center"/>
      <protection/>
    </xf>
    <xf numFmtId="1" fontId="0" fillId="0" borderId="29" xfId="0" applyNumberFormat="1" applyFont="1" applyFill="1" applyBorder="1" applyAlignment="1" applyProtection="1">
      <alignment horizontal="center" vertical="top" wrapText="1"/>
      <protection locked="0"/>
    </xf>
    <xf numFmtId="1" fontId="0" fillId="0" borderId="41" xfId="0" applyNumberFormat="1" applyFont="1" applyFill="1" applyBorder="1" applyAlignment="1" applyProtection="1">
      <alignment horizontal="center" vertical="top" wrapText="1"/>
      <protection locked="0"/>
    </xf>
    <xf numFmtId="1" fontId="0" fillId="0" borderId="29" xfId="0" applyNumberFormat="1" applyFont="1" applyFill="1" applyBorder="1" applyAlignment="1" applyProtection="1">
      <alignment horizontal="left" vertical="top" wrapText="1"/>
      <protection locked="0"/>
    </xf>
    <xf numFmtId="1" fontId="0" fillId="0" borderId="29" xfId="0" applyNumberFormat="1" applyFont="1" applyFill="1" applyBorder="1" applyAlignment="1" applyProtection="1">
      <alignment horizontal="left" vertical="top" wrapText="1"/>
      <protection locked="0"/>
    </xf>
    <xf numFmtId="1" fontId="0" fillId="0" borderId="41" xfId="0" applyNumberFormat="1" applyFont="1" applyFill="1" applyBorder="1" applyAlignment="1" applyProtection="1">
      <alignment horizontal="left" vertical="top" wrapText="1"/>
      <protection locked="0"/>
    </xf>
    <xf numFmtId="1" fontId="2" fillId="0" borderId="42" xfId="0" applyNumberFormat="1" applyFont="1" applyFill="1" applyBorder="1" applyAlignment="1" applyProtection="1">
      <alignment horizontal="center" wrapText="1"/>
      <protection/>
    </xf>
    <xf numFmtId="1" fontId="2" fillId="0" borderId="31" xfId="0" applyNumberFormat="1" applyFont="1" applyFill="1" applyBorder="1" applyAlignment="1" applyProtection="1">
      <alignment horizontal="center" wrapText="1"/>
      <protection/>
    </xf>
    <xf numFmtId="1" fontId="0" fillId="0" borderId="41" xfId="0" applyNumberFormat="1" applyFont="1" applyFill="1" applyBorder="1" applyAlignment="1" applyProtection="1">
      <alignment horizontal="center" wrapText="1"/>
      <protection/>
    </xf>
    <xf numFmtId="1" fontId="0" fillId="0" borderId="29" xfId="0" applyNumberFormat="1" applyFont="1" applyFill="1" applyBorder="1" applyAlignment="1" applyProtection="1">
      <alignment horizontal="center" wrapText="1"/>
      <protection/>
    </xf>
    <xf numFmtId="1" fontId="0" fillId="0" borderId="29" xfId="0" applyNumberFormat="1" applyFont="1" applyFill="1" applyBorder="1" applyAlignment="1" applyProtection="1">
      <alignment horizontal="center" wrapText="1"/>
      <protection/>
    </xf>
    <xf numFmtId="1" fontId="2" fillId="0" borderId="31" xfId="60" applyNumberFormat="1" applyFont="1" applyFill="1" applyBorder="1" applyAlignment="1" applyProtection="1">
      <alignment horizontal="center" wrapText="1"/>
      <protection/>
    </xf>
    <xf numFmtId="10" fontId="0" fillId="0" borderId="24" xfId="60" applyNumberFormat="1" applyFont="1" applyFill="1" applyBorder="1" applyAlignment="1" applyProtection="1">
      <alignment horizontal="center" wrapText="1"/>
      <protection/>
    </xf>
    <xf numFmtId="10" fontId="0" fillId="0" borderId="26" xfId="60" applyNumberFormat="1" applyFont="1" applyFill="1" applyBorder="1" applyAlignment="1" applyProtection="1">
      <alignment horizontal="center" wrapText="1"/>
      <protection/>
    </xf>
    <xf numFmtId="1" fontId="0" fillId="0" borderId="22" xfId="0" applyNumberFormat="1" applyFill="1" applyBorder="1" applyAlignment="1" applyProtection="1">
      <alignment horizontal="center" wrapText="1"/>
      <protection/>
    </xf>
    <xf numFmtId="1" fontId="0" fillId="0" borderId="23" xfId="0" applyNumberFormat="1" applyFill="1" applyBorder="1" applyAlignment="1" applyProtection="1">
      <alignment horizontal="center" wrapText="1"/>
      <protection/>
    </xf>
    <xf numFmtId="1" fontId="0" fillId="0" borderId="41" xfId="0" applyNumberFormat="1" applyFont="1" applyFill="1" applyBorder="1" applyAlignment="1" applyProtection="1">
      <alignment horizontal="left" vertical="top" wrapText="1"/>
      <protection/>
    </xf>
    <xf numFmtId="1" fontId="0" fillId="0" borderId="42" xfId="0" applyNumberFormat="1" applyFont="1" applyFill="1" applyBorder="1" applyAlignment="1" applyProtection="1">
      <alignment horizontal="left" vertical="top" wrapText="1"/>
      <protection/>
    </xf>
    <xf numFmtId="1" fontId="2" fillId="0" borderId="29" xfId="60" applyNumberFormat="1" applyFont="1" applyFill="1" applyBorder="1" applyAlignment="1" applyProtection="1">
      <alignment horizontal="center" wrapText="1"/>
      <protection/>
    </xf>
    <xf numFmtId="172" fontId="0" fillId="0" borderId="42" xfId="0" applyNumberFormat="1" applyFont="1" applyFill="1" applyBorder="1" applyAlignment="1" applyProtection="1">
      <alignment horizont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1" fontId="2" fillId="0" borderId="42" xfId="0" applyNumberFormat="1" applyFont="1" applyFill="1" applyBorder="1" applyAlignment="1" applyProtection="1">
      <alignment horizontal="center"/>
      <protection/>
    </xf>
    <xf numFmtId="1" fontId="3" fillId="0" borderId="22" xfId="0" applyNumberFormat="1" applyFont="1" applyFill="1" applyBorder="1" applyAlignment="1" applyProtection="1">
      <alignment horizontal="center" vertical="center"/>
      <protection/>
    </xf>
    <xf numFmtId="1" fontId="3" fillId="0" borderId="23" xfId="0" applyNumberFormat="1" applyFont="1" applyFill="1" applyBorder="1" applyAlignment="1" applyProtection="1">
      <alignment horizontal="center" vertical="center"/>
      <protection/>
    </xf>
    <xf numFmtId="1" fontId="3" fillId="0" borderId="28"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protection/>
    </xf>
    <xf numFmtId="1" fontId="108" fillId="0" borderId="41" xfId="0" applyNumberFormat="1" applyFont="1" applyFill="1" applyBorder="1" applyAlignment="1" applyProtection="1">
      <alignment horizontal="right" wrapText="1"/>
      <protection/>
    </xf>
    <xf numFmtId="1" fontId="108" fillId="0" borderId="31" xfId="0" applyNumberFormat="1" applyFont="1" applyFill="1" applyBorder="1" applyAlignment="1" applyProtection="1">
      <alignment horizontal="right" wrapText="1"/>
      <protection/>
    </xf>
    <xf numFmtId="1" fontId="0" fillId="0" borderId="24" xfId="0" applyNumberFormat="1" applyFont="1" applyFill="1" applyBorder="1" applyAlignment="1" applyProtection="1">
      <alignment horizontal="center" wrapText="1"/>
      <protection/>
    </xf>
    <xf numFmtId="1" fontId="0" fillId="0" borderId="26" xfId="0" applyNumberFormat="1" applyFont="1" applyFill="1" applyBorder="1" applyAlignment="1" applyProtection="1">
      <alignment horizontal="center" wrapText="1"/>
      <protection/>
    </xf>
    <xf numFmtId="1" fontId="0" fillId="0" borderId="29" xfId="0" applyNumberFormat="1" applyFont="1" applyFill="1" applyBorder="1" applyAlignment="1" applyProtection="1">
      <alignment horizontal="left" vertical="top" wrapText="1"/>
      <protection locked="0"/>
    </xf>
    <xf numFmtId="1" fontId="18" fillId="0" borderId="29" xfId="60" applyNumberFormat="1" applyFont="1" applyFill="1" applyBorder="1" applyAlignment="1" applyProtection="1">
      <alignment horizontal="center" wrapText="1"/>
      <protection/>
    </xf>
    <xf numFmtId="1" fontId="18" fillId="0" borderId="41" xfId="60" applyNumberFormat="1" applyFont="1" applyFill="1" applyBorder="1" applyAlignment="1" applyProtection="1">
      <alignment horizontal="center" wrapText="1"/>
      <protection/>
    </xf>
    <xf numFmtId="1" fontId="3" fillId="0" borderId="29" xfId="0" applyNumberFormat="1" applyFont="1" applyFill="1" applyBorder="1" applyAlignment="1" applyProtection="1">
      <alignment horizontal="center" vertical="center" wrapText="1"/>
      <protection/>
    </xf>
    <xf numFmtId="1" fontId="3" fillId="0" borderId="41" xfId="0" applyNumberFormat="1" applyFont="1" applyFill="1" applyBorder="1" applyAlignment="1" applyProtection="1">
      <alignment horizontal="center" vertical="center" wrapText="1"/>
      <protection/>
    </xf>
    <xf numFmtId="10" fontId="0" fillId="0" borderId="33" xfId="0" applyNumberFormat="1" applyFont="1" applyFill="1" applyBorder="1" applyAlignment="1" applyProtection="1">
      <alignment horizontal="center" wrapText="1"/>
      <protection/>
    </xf>
    <xf numFmtId="10" fontId="0" fillId="0" borderId="30" xfId="0" applyNumberFormat="1" applyFont="1" applyFill="1" applyBorder="1" applyAlignment="1" applyProtection="1">
      <alignment horizontal="center" wrapText="1"/>
      <protection/>
    </xf>
    <xf numFmtId="43" fontId="0" fillId="0" borderId="33" xfId="42" applyFont="1" applyFill="1" applyBorder="1" applyAlignment="1" applyProtection="1">
      <alignment horizontal="center" wrapText="1"/>
      <protection/>
    </xf>
    <xf numFmtId="43" fontId="0" fillId="0" borderId="30" xfId="42" applyFont="1" applyFill="1" applyBorder="1" applyAlignment="1" applyProtection="1">
      <alignment horizontal="center" wrapText="1"/>
      <protection/>
    </xf>
    <xf numFmtId="4" fontId="0" fillId="0" borderId="33" xfId="0" applyNumberFormat="1" applyFont="1" applyFill="1" applyBorder="1" applyAlignment="1" applyProtection="1">
      <alignment horizontal="center" wrapText="1"/>
      <protection/>
    </xf>
    <xf numFmtId="4" fontId="0" fillId="0" borderId="30" xfId="0" applyNumberFormat="1" applyFont="1" applyFill="1" applyBorder="1" applyAlignment="1" applyProtection="1">
      <alignment horizontal="center" wrapText="1"/>
      <protection/>
    </xf>
    <xf numFmtId="43" fontId="0" fillId="0" borderId="33" xfId="42" applyFont="1" applyFill="1" applyBorder="1" applyAlignment="1" applyProtection="1">
      <alignment horizontal="center" wrapText="1"/>
      <protection/>
    </xf>
    <xf numFmtId="10" fontId="0" fillId="0" borderId="33" xfId="60" applyNumberFormat="1" applyFont="1" applyFill="1" applyBorder="1" applyAlignment="1" applyProtection="1">
      <alignment horizontal="center" wrapText="1"/>
      <protection/>
    </xf>
    <xf numFmtId="10" fontId="0" fillId="0" borderId="30" xfId="60" applyNumberFormat="1" applyFont="1" applyFill="1" applyBorder="1" applyAlignment="1" applyProtection="1">
      <alignment horizontal="center" wrapText="1"/>
      <protection/>
    </xf>
    <xf numFmtId="43" fontId="99" fillId="0" borderId="23" xfId="42" applyFont="1" applyFill="1" applyBorder="1" applyAlignment="1" applyProtection="1">
      <alignment horizontal="left"/>
      <protection/>
    </xf>
    <xf numFmtId="43" fontId="99" fillId="0" borderId="24" xfId="42" applyFont="1" applyFill="1" applyBorder="1" applyAlignment="1" applyProtection="1">
      <alignment horizontal="left"/>
      <protection/>
    </xf>
    <xf numFmtId="43" fontId="99" fillId="0" borderId="26" xfId="42" applyFont="1" applyFill="1" applyBorder="1" applyAlignment="1" applyProtection="1">
      <alignment horizontal="left"/>
      <protection/>
    </xf>
    <xf numFmtId="43" fontId="99" fillId="0" borderId="10" xfId="42" applyFont="1" applyFill="1" applyBorder="1" applyAlignment="1" applyProtection="1">
      <alignment horizontal="left"/>
      <protection/>
    </xf>
    <xf numFmtId="43" fontId="99" fillId="0" borderId="27" xfId="42" applyFont="1" applyFill="1" applyBorder="1" applyAlignment="1" applyProtection="1">
      <alignment horizontal="left"/>
      <protection/>
    </xf>
    <xf numFmtId="1" fontId="0" fillId="0" borderId="31" xfId="0" applyNumberFormat="1" applyFont="1" applyFill="1" applyBorder="1" applyAlignment="1" applyProtection="1">
      <alignment horizontal="center" wrapText="1"/>
      <protection/>
    </xf>
    <xf numFmtId="0" fontId="0" fillId="0" borderId="29" xfId="0" applyFill="1" applyBorder="1" applyAlignment="1" applyProtection="1">
      <alignment/>
      <protection/>
    </xf>
    <xf numFmtId="1" fontId="0" fillId="0" borderId="31" xfId="0" applyNumberFormat="1" applyFont="1" applyFill="1" applyBorder="1" applyAlignment="1" applyProtection="1">
      <alignment horizontal="center" wrapText="1"/>
      <protection/>
    </xf>
    <xf numFmtId="1" fontId="2" fillId="0" borderId="31" xfId="0" applyNumberFormat="1" applyFont="1" applyFill="1" applyBorder="1" applyAlignment="1" applyProtection="1">
      <alignment horizontal="center" wrapText="1"/>
      <protection/>
    </xf>
    <xf numFmtId="1" fontId="2" fillId="0" borderId="29" xfId="0" applyNumberFormat="1" applyFont="1" applyFill="1" applyBorder="1" applyAlignment="1" applyProtection="1">
      <alignment horizontal="center" wrapText="1"/>
      <protection/>
    </xf>
    <xf numFmtId="1" fontId="0" fillId="40" borderId="31" xfId="0" applyNumberFormat="1" applyFont="1" applyFill="1" applyBorder="1" applyAlignment="1" applyProtection="1">
      <alignment horizontal="center" wrapText="1"/>
      <protection/>
    </xf>
    <xf numFmtId="1" fontId="0" fillId="40" borderId="29" xfId="0" applyNumberFormat="1" applyFont="1" applyFill="1" applyBorder="1" applyAlignment="1" applyProtection="1">
      <alignment horizontal="center" wrapText="1"/>
      <protection/>
    </xf>
    <xf numFmtId="1" fontId="0" fillId="0" borderId="31" xfId="0" applyNumberFormat="1" applyFont="1" applyFill="1" applyBorder="1" applyAlignment="1" applyProtection="1">
      <alignment horizontal="center" wrapText="1"/>
      <protection/>
    </xf>
    <xf numFmtId="1" fontId="0" fillId="0" borderId="41" xfId="0" applyNumberFormat="1" applyFont="1" applyFill="1" applyBorder="1" applyAlignment="1" applyProtection="1">
      <alignment horizontal="center" wrapText="1"/>
      <protection/>
    </xf>
    <xf numFmtId="1" fontId="0" fillId="0" borderId="42" xfId="0" applyNumberFormat="1" applyFont="1" applyFill="1" applyBorder="1" applyAlignment="1" applyProtection="1">
      <alignment horizontal="center" wrapText="1"/>
      <protection/>
    </xf>
    <xf numFmtId="1" fontId="0" fillId="0" borderId="29" xfId="0" applyNumberFormat="1" applyFont="1" applyFill="1" applyBorder="1" applyAlignment="1" applyProtection="1">
      <alignment horizontal="center" wrapText="1"/>
      <protection/>
    </xf>
    <xf numFmtId="1" fontId="20" fillId="0" borderId="31" xfId="0" applyNumberFormat="1" applyFont="1" applyFill="1" applyBorder="1" applyAlignment="1" applyProtection="1">
      <alignment horizontal="center" wrapText="1"/>
      <protection/>
    </xf>
    <xf numFmtId="1" fontId="20" fillId="0" borderId="29" xfId="0" applyNumberFormat="1" applyFont="1" applyFill="1" applyBorder="1" applyAlignment="1" applyProtection="1">
      <alignment horizontal="center" wrapText="1"/>
      <protection/>
    </xf>
    <xf numFmtId="0" fontId="17" fillId="0" borderId="0" xfId="0" applyFont="1" applyAlignment="1">
      <alignment horizontal="center"/>
    </xf>
    <xf numFmtId="3" fontId="13" fillId="0" borderId="42" xfId="0" applyNumberFormat="1" applyFont="1" applyBorder="1" applyAlignment="1" applyProtection="1">
      <alignment horizontal="center" wrapText="1"/>
      <protection/>
    </xf>
    <xf numFmtId="0" fontId="13" fillId="0" borderId="42" xfId="0" applyFont="1" applyBorder="1" applyAlignment="1" applyProtection="1">
      <alignment horizontal="center"/>
      <protection locked="0"/>
    </xf>
    <xf numFmtId="0" fontId="111" fillId="0" borderId="0" xfId="0" applyFont="1" applyAlignment="1" applyProtection="1">
      <alignment horizontal="center"/>
      <protection/>
    </xf>
    <xf numFmtId="0" fontId="0" fillId="0" borderId="0" xfId="0" applyAlignment="1" applyProtection="1">
      <alignment horizontal="left"/>
      <protection locked="0"/>
    </xf>
    <xf numFmtId="0" fontId="0" fillId="0" borderId="10" xfId="0" applyBorder="1" applyAlignment="1" applyProtection="1">
      <alignment horizontal="left"/>
      <protection locked="0"/>
    </xf>
    <xf numFmtId="0" fontId="0" fillId="0" borderId="0" xfId="0" applyAlignment="1" applyProtection="1">
      <alignment horizontal="left"/>
      <protection/>
    </xf>
    <xf numFmtId="0" fontId="0" fillId="0" borderId="10" xfId="0" applyBorder="1" applyAlignment="1" applyProtection="1">
      <alignment horizontal="left"/>
      <protection/>
    </xf>
    <xf numFmtId="1" fontId="12" fillId="0" borderId="10" xfId="0" applyNumberFormat="1" applyFont="1" applyBorder="1" applyAlignment="1" applyProtection="1">
      <alignment horizontal="left"/>
      <protection/>
    </xf>
    <xf numFmtId="1" fontId="2" fillId="0" borderId="10" xfId="0" applyNumberFormat="1" applyFont="1" applyBorder="1" applyAlignment="1" applyProtection="1">
      <alignment horizontal="center"/>
      <protection/>
    </xf>
    <xf numFmtId="0" fontId="2" fillId="0" borderId="10" xfId="0" applyFont="1" applyBorder="1" applyAlignment="1" applyProtection="1">
      <alignment horizontal="center"/>
      <protection/>
    </xf>
    <xf numFmtId="0" fontId="112" fillId="0" borderId="0" xfId="0" applyFont="1" applyBorder="1" applyAlignment="1" applyProtection="1">
      <alignment horizontal="center"/>
      <protection/>
    </xf>
    <xf numFmtId="0" fontId="17" fillId="0" borderId="23" xfId="0" applyFont="1" applyBorder="1" applyAlignment="1">
      <alignment horizontal="center"/>
    </xf>
    <xf numFmtId="0" fontId="0" fillId="0" borderId="23" xfId="0" applyBorder="1" applyAlignment="1" applyProtection="1">
      <alignment horizontal="center"/>
      <protection/>
    </xf>
    <xf numFmtId="167" fontId="0" fillId="0" borderId="10" xfId="0" applyNumberFormat="1" applyFont="1" applyBorder="1" applyAlignment="1" applyProtection="1">
      <alignment horizontal="center"/>
      <protection locked="0"/>
    </xf>
    <xf numFmtId="167" fontId="0" fillId="0" borderId="10" xfId="0" applyNumberFormat="1" applyBorder="1" applyAlignment="1" applyProtection="1">
      <alignment horizontal="center"/>
      <protection locked="0"/>
    </xf>
    <xf numFmtId="0" fontId="0" fillId="0" borderId="0" xfId="0" applyFont="1" applyAlignment="1" applyProtection="1">
      <alignment horizontal="center"/>
      <protection/>
    </xf>
    <xf numFmtId="3"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23" xfId="0" applyBorder="1" applyAlignment="1" applyProtection="1">
      <alignment horizontal="center" vertical="top" wrapText="1"/>
      <protection/>
    </xf>
    <xf numFmtId="0" fontId="0" fillId="0" borderId="23" xfId="0" applyFont="1" applyBorder="1" applyAlignment="1" applyProtection="1">
      <alignment horizontal="center" vertical="top" wrapText="1"/>
      <protection/>
    </xf>
    <xf numFmtId="0" fontId="0" fillId="0" borderId="0" xfId="0" applyAlignment="1" applyProtection="1" quotePrefix="1">
      <alignment horizontal="left"/>
      <protection/>
    </xf>
    <xf numFmtId="0" fontId="2" fillId="0" borderId="0" xfId="0" applyFont="1" applyAlignment="1" applyProtection="1">
      <alignment horizontal="center"/>
      <protection/>
    </xf>
    <xf numFmtId="0" fontId="0" fillId="0" borderId="0" xfId="0" applyFont="1" applyAlignment="1" applyProtection="1" quotePrefix="1">
      <alignment horizontal="left"/>
      <protection/>
    </xf>
    <xf numFmtId="0" fontId="0" fillId="0" borderId="0" xfId="0" applyFont="1" applyAlignment="1" applyProtection="1">
      <alignment horizontal="left" wrapText="1"/>
      <protection/>
    </xf>
    <xf numFmtId="0" fontId="0" fillId="0" borderId="0" xfId="0" applyAlignment="1" applyProtection="1" quotePrefix="1">
      <alignment horizontal="left" wrapText="1"/>
      <protection/>
    </xf>
    <xf numFmtId="0" fontId="0" fillId="0" borderId="0" xfId="0" applyFont="1" applyFill="1" applyAlignment="1" applyProtection="1">
      <alignment horizontal="left"/>
      <protection/>
    </xf>
    <xf numFmtId="0" fontId="0" fillId="0" borderId="0" xfId="0" applyFill="1" applyAlignment="1" applyProtection="1" quotePrefix="1">
      <alignment horizontal="left"/>
      <protection/>
    </xf>
    <xf numFmtId="3" fontId="0" fillId="0" borderId="10" xfId="53" applyNumberFormat="1" applyFont="1" applyBorder="1" applyAlignment="1" applyProtection="1">
      <alignment horizontal="center" wrapText="1"/>
      <protection locked="0"/>
    </xf>
    <xf numFmtId="0" fontId="0" fillId="0" borderId="10" xfId="53" applyFont="1" applyBorder="1" applyAlignment="1" applyProtection="1">
      <alignment horizontal="center" wrapText="1"/>
      <protection locked="0"/>
    </xf>
    <xf numFmtId="0" fontId="0" fillId="0" borderId="10" xfId="0" applyFont="1" applyBorder="1" applyAlignment="1" applyProtection="1">
      <alignment horizontal="center"/>
      <protection locked="0"/>
    </xf>
    <xf numFmtId="0" fontId="0" fillId="0" borderId="0" xfId="0" applyAlignment="1" applyProtection="1">
      <alignment horizontal="left" wrapText="1"/>
      <protection/>
    </xf>
    <xf numFmtId="0" fontId="2" fillId="0" borderId="0" xfId="0" applyFont="1" applyAlignment="1" applyProtection="1">
      <alignment horizontal="left"/>
      <protection/>
    </xf>
    <xf numFmtId="165" fontId="0" fillId="0" borderId="0" xfId="42" applyNumberFormat="1" applyFont="1" applyAlignment="1" applyProtection="1">
      <alignment horizontal="center"/>
      <protection/>
    </xf>
    <xf numFmtId="165" fontId="0" fillId="0" borderId="0" xfId="42" applyNumberFormat="1" applyFont="1" applyAlignment="1" applyProtection="1">
      <alignment horizontal="right"/>
      <protection/>
    </xf>
    <xf numFmtId="49" fontId="0" fillId="0" borderId="0" xfId="0" applyNumberFormat="1" applyAlignment="1" applyProtection="1" quotePrefix="1">
      <alignment horizontal="left"/>
      <protection/>
    </xf>
    <xf numFmtId="0" fontId="7" fillId="0" borderId="0" xfId="0" applyFont="1" applyAlignment="1" applyProtection="1">
      <alignment horizontal="center"/>
      <protection/>
    </xf>
    <xf numFmtId="165" fontId="0" fillId="0" borderId="0" xfId="42" applyNumberFormat="1" applyFont="1" applyAlignment="1" applyProtection="1">
      <alignment horizontal="right"/>
      <protection/>
    </xf>
    <xf numFmtId="0" fontId="113" fillId="0" borderId="0" xfId="0" applyFont="1" applyAlignment="1" applyProtection="1">
      <alignment horizontal="center"/>
      <protection/>
    </xf>
    <xf numFmtId="0" fontId="0" fillId="0" borderId="0" xfId="0" applyNumberFormat="1" applyAlignment="1" applyProtection="1">
      <alignment horizontal="center"/>
      <protection/>
    </xf>
    <xf numFmtId="0" fontId="9" fillId="0" borderId="10" xfId="0" applyFont="1" applyBorder="1" applyAlignment="1" applyProtection="1">
      <alignment horizontal="center"/>
      <protection locked="0"/>
    </xf>
    <xf numFmtId="3" fontId="8" fillId="0" borderId="10" xfId="0" applyNumberFormat="1" applyFont="1" applyBorder="1" applyAlignment="1" applyProtection="1">
      <alignment horizontal="center" wrapText="1"/>
      <protection/>
    </xf>
    <xf numFmtId="0" fontId="9" fillId="0" borderId="0" xfId="0" applyFont="1" applyAlignment="1" applyProtection="1">
      <alignment horizontal="center"/>
      <protection/>
    </xf>
    <xf numFmtId="0" fontId="9" fillId="0" borderId="23" xfId="0" applyFont="1" applyBorder="1" applyAlignment="1" applyProtection="1">
      <alignment horizontal="center"/>
      <protection/>
    </xf>
    <xf numFmtId="0" fontId="8" fillId="0" borderId="23" xfId="0" applyFont="1" applyBorder="1" applyAlignment="1" applyProtection="1">
      <alignment horizontal="center"/>
      <protection/>
    </xf>
    <xf numFmtId="167" fontId="8" fillId="0" borderId="10" xfId="0" applyNumberFormat="1" applyFont="1" applyBorder="1" applyAlignment="1" applyProtection="1">
      <alignment horizontal="center"/>
      <protection locked="0"/>
    </xf>
    <xf numFmtId="0" fontId="8" fillId="0" borderId="0" xfId="0" applyFont="1" applyAlignment="1" applyProtection="1">
      <alignment horizontal="center"/>
      <protection/>
    </xf>
    <xf numFmtId="0" fontId="8" fillId="0" borderId="0" xfId="0" applyFont="1" applyAlignment="1" applyProtection="1">
      <alignment horizontal="left" wrapText="1"/>
      <protection/>
    </xf>
    <xf numFmtId="0" fontId="8" fillId="0" borderId="0" xfId="0" applyFont="1" applyAlignment="1" applyProtection="1">
      <alignment horizontal="left"/>
      <protection/>
    </xf>
    <xf numFmtId="0" fontId="8" fillId="0" borderId="46" xfId="0" applyFont="1" applyBorder="1" applyAlignment="1" applyProtection="1">
      <alignment horizontal="left" vertical="top" wrapText="1"/>
      <protection locked="0"/>
    </xf>
    <xf numFmtId="0" fontId="8" fillId="0" borderId="47" xfId="0" applyFont="1" applyBorder="1" applyAlignment="1" applyProtection="1">
      <alignment horizontal="left" vertical="top" wrapText="1"/>
      <protection locked="0"/>
    </xf>
    <xf numFmtId="0" fontId="8" fillId="0" borderId="48" xfId="0" applyFont="1" applyBorder="1" applyAlignment="1" applyProtection="1">
      <alignment horizontal="left" vertical="top" wrapText="1"/>
      <protection locked="0"/>
    </xf>
    <xf numFmtId="0" fontId="8" fillId="41" borderId="49" xfId="0" applyFont="1" applyFill="1" applyBorder="1" applyAlignment="1" applyProtection="1">
      <alignment horizontal="center" vertical="top" wrapText="1"/>
      <protection/>
    </xf>
    <xf numFmtId="0" fontId="8" fillId="41" borderId="50" xfId="0" applyFont="1" applyFill="1" applyBorder="1" applyAlignment="1" applyProtection="1">
      <alignment horizontal="center" vertical="top" wrapText="1"/>
      <protection/>
    </xf>
    <xf numFmtId="0" fontId="8" fillId="41" borderId="51" xfId="0" applyFont="1" applyFill="1" applyBorder="1" applyAlignment="1" applyProtection="1">
      <alignment horizontal="center" vertical="top" wrapText="1"/>
      <protection/>
    </xf>
    <xf numFmtId="172" fontId="0" fillId="0" borderId="0" xfId="0" applyNumberFormat="1" applyFont="1" applyFill="1" applyBorder="1" applyAlignment="1" applyProtection="1">
      <alignment horizontal="center"/>
      <protection/>
    </xf>
    <xf numFmtId="166" fontId="8" fillId="0" borderId="10" xfId="0" applyNumberFormat="1"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47" xfId="0" applyFont="1" applyBorder="1" applyAlignment="1" applyProtection="1">
      <alignment horizontal="left"/>
      <protection locked="0"/>
    </xf>
    <xf numFmtId="0" fontId="8" fillId="0" borderId="48" xfId="0" applyFont="1" applyBorder="1" applyAlignment="1" applyProtection="1">
      <alignment horizontal="left"/>
      <protection locked="0"/>
    </xf>
    <xf numFmtId="0" fontId="8" fillId="0" borderId="52" xfId="0" applyFont="1" applyBorder="1" applyAlignment="1" applyProtection="1">
      <alignment horizontal="center" vertical="top" wrapText="1"/>
      <protection/>
    </xf>
    <xf numFmtId="0" fontId="8" fillId="0" borderId="10" xfId="0" applyFont="1" applyBorder="1" applyAlignment="1" applyProtection="1">
      <alignment horizontal="center" vertical="top" wrapText="1"/>
      <protection/>
    </xf>
    <xf numFmtId="0" fontId="8" fillId="0" borderId="53" xfId="0" applyFont="1" applyBorder="1" applyAlignment="1" applyProtection="1">
      <alignment horizontal="center" vertical="top" wrapText="1"/>
      <protection/>
    </xf>
    <xf numFmtId="0" fontId="8" fillId="0" borderId="54" xfId="0" applyFont="1" applyBorder="1" applyAlignment="1" applyProtection="1">
      <alignment horizontal="left" vertical="top"/>
      <protection locked="0"/>
    </xf>
    <xf numFmtId="0" fontId="8" fillId="0" borderId="55" xfId="0" applyFont="1" applyBorder="1" applyAlignment="1" applyProtection="1">
      <alignment horizontal="left" vertical="top"/>
      <protection locked="0"/>
    </xf>
    <xf numFmtId="0" fontId="8" fillId="0" borderId="56" xfId="0" applyFont="1" applyBorder="1" applyAlignment="1" applyProtection="1">
      <alignment horizontal="left" vertical="top"/>
      <protection locked="0"/>
    </xf>
    <xf numFmtId="0" fontId="112" fillId="0" borderId="0" xfId="0" applyFont="1" applyAlignment="1" applyProtection="1">
      <alignment horizontal="center"/>
      <protection/>
    </xf>
    <xf numFmtId="0" fontId="93" fillId="0" borderId="0" xfId="0" applyFont="1" applyAlignment="1" applyProtection="1">
      <alignment horizontal="center"/>
      <protection/>
    </xf>
    <xf numFmtId="3" fontId="114" fillId="0" borderId="10" xfId="0" applyNumberFormat="1" applyFont="1" applyBorder="1" applyAlignment="1" applyProtection="1">
      <alignment horizontal="left"/>
      <protection/>
    </xf>
    <xf numFmtId="0" fontId="114" fillId="0" borderId="10" xfId="0" applyFont="1" applyBorder="1" applyAlignment="1" applyProtection="1">
      <alignment horizontal="left"/>
      <protection/>
    </xf>
    <xf numFmtId="170" fontId="0" fillId="0" borderId="29" xfId="42" applyNumberFormat="1" applyFont="1" applyFill="1" applyBorder="1" applyAlignment="1" applyProtection="1">
      <alignment horizontal="center"/>
      <protection/>
    </xf>
    <xf numFmtId="1" fontId="0" fillId="0" borderId="41" xfId="0" applyNumberFormat="1" applyFont="1" applyFill="1" applyBorder="1" applyAlignment="1" applyProtection="1">
      <alignment horizontal="left" wrapText="1"/>
      <protection/>
    </xf>
    <xf numFmtId="1" fontId="0" fillId="0" borderId="42" xfId="0" applyNumberFormat="1" applyFont="1" applyFill="1" applyBorder="1" applyAlignment="1" applyProtection="1">
      <alignment horizontal="left" wrapText="1"/>
      <protection/>
    </xf>
    <xf numFmtId="43" fontId="0" fillId="0" borderId="29" xfId="42" applyFont="1" applyFill="1" applyBorder="1" applyAlignment="1" applyProtection="1">
      <alignment horizontal="left" vertical="top" wrapText="1"/>
      <protection locked="0"/>
    </xf>
    <xf numFmtId="43" fontId="0" fillId="0" borderId="41" xfId="42" applyFont="1" applyFill="1" applyBorder="1" applyAlignment="1" applyProtection="1">
      <alignment horizontal="left" vertical="top" wrapText="1"/>
      <protection locked="0"/>
    </xf>
    <xf numFmtId="1" fontId="0" fillId="0" borderId="29" xfId="0" applyNumberFormat="1" applyFont="1" applyFill="1" applyBorder="1" applyAlignment="1" applyProtection="1">
      <alignment horizontal="left" wrapText="1"/>
      <protection/>
    </xf>
    <xf numFmtId="0" fontId="110" fillId="0" borderId="23" xfId="0" applyFont="1" applyFill="1" applyBorder="1" applyAlignment="1">
      <alignment horizontal="center" vertical="center"/>
    </xf>
    <xf numFmtId="0" fontId="110" fillId="0" borderId="1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1" fontId="0" fillId="0" borderId="27" xfId="0" applyNumberFormat="1" applyFont="1" applyFill="1" applyBorder="1" applyAlignment="1" applyProtection="1">
      <alignment horizontal="center" wrapText="1"/>
      <protection/>
    </xf>
    <xf numFmtId="43" fontId="0" fillId="0" borderId="32" xfId="42" applyFont="1" applyFill="1" applyBorder="1" applyAlignment="1" applyProtection="1">
      <alignment horizontal="center" wrapText="1"/>
      <protection/>
    </xf>
    <xf numFmtId="4" fontId="0" fillId="0" borderId="32" xfId="0" applyNumberFormat="1" applyFont="1" applyFill="1" applyBorder="1" applyAlignment="1" applyProtection="1">
      <alignment horizontal="center" wrapText="1"/>
      <protection/>
    </xf>
    <xf numFmtId="1" fontId="2" fillId="0" borderId="41" xfId="0" applyNumberFormat="1" applyFont="1" applyFill="1" applyBorder="1" applyAlignment="1" applyProtection="1">
      <alignment horizontal="left" wrapText="1"/>
      <protection/>
    </xf>
    <xf numFmtId="1" fontId="2" fillId="0" borderId="42" xfId="0" applyNumberFormat="1" applyFont="1" applyFill="1" applyBorder="1" applyAlignment="1" applyProtection="1">
      <alignment horizontal="left" wrapText="1"/>
      <protection/>
    </xf>
    <xf numFmtId="0" fontId="0" fillId="0" borderId="29" xfId="0" applyFill="1" applyBorder="1" applyAlignment="1">
      <alignment/>
    </xf>
    <xf numFmtId="1" fontId="11" fillId="0" borderId="31" xfId="0" applyNumberFormat="1" applyFont="1" applyFill="1" applyBorder="1" applyAlignment="1" applyProtection="1">
      <alignment horizontal="center" wrapText="1"/>
      <protection/>
    </xf>
    <xf numFmtId="1" fontId="11" fillId="0" borderId="29" xfId="0" applyNumberFormat="1" applyFont="1" applyFill="1" applyBorder="1" applyAlignment="1" applyProtection="1">
      <alignment horizontal="center" wrapText="1"/>
      <protection/>
    </xf>
    <xf numFmtId="43" fontId="0" fillId="0" borderId="33" xfId="42" applyFont="1" applyFill="1" applyBorder="1" applyAlignment="1" applyProtection="1">
      <alignment horizontal="center"/>
      <protection/>
    </xf>
    <xf numFmtId="43" fontId="0" fillId="0" borderId="30" xfId="42" applyFont="1" applyFill="1" applyBorder="1" applyAlignment="1" applyProtection="1">
      <alignment horizontal="center"/>
      <protection/>
    </xf>
    <xf numFmtId="43" fontId="0" fillId="0" borderId="32" xfId="42" applyFont="1" applyFill="1" applyBorder="1" applyAlignment="1" applyProtection="1">
      <alignment horizontal="center"/>
      <protection/>
    </xf>
    <xf numFmtId="1" fontId="18" fillId="0" borderId="22" xfId="60" applyNumberFormat="1" applyFont="1" applyFill="1" applyBorder="1" applyAlignment="1" applyProtection="1">
      <alignment horizontal="center" wrapText="1"/>
      <protection/>
    </xf>
    <xf numFmtId="1" fontId="18" fillId="0" borderId="23" xfId="60" applyNumberFormat="1" applyFont="1" applyFill="1" applyBorder="1" applyAlignment="1" applyProtection="1">
      <alignment horizontal="center" wrapText="1"/>
      <protection/>
    </xf>
    <xf numFmtId="1" fontId="18" fillId="0" borderId="24" xfId="60" applyNumberFormat="1" applyFont="1" applyFill="1" applyBorder="1" applyAlignment="1" applyProtection="1">
      <alignment horizontal="center" wrapText="1"/>
      <protection/>
    </xf>
    <xf numFmtId="1" fontId="18" fillId="0" borderId="25" xfId="60" applyNumberFormat="1" applyFont="1" applyFill="1" applyBorder="1" applyAlignment="1" applyProtection="1">
      <alignment horizontal="center" wrapText="1"/>
      <protection/>
    </xf>
    <xf numFmtId="1" fontId="18" fillId="0" borderId="0" xfId="60" applyNumberFormat="1" applyFont="1" applyFill="1" applyBorder="1" applyAlignment="1" applyProtection="1">
      <alignment horizontal="center" wrapText="1"/>
      <protection/>
    </xf>
    <xf numFmtId="1" fontId="18" fillId="0" borderId="26" xfId="60" applyNumberFormat="1" applyFont="1" applyFill="1" applyBorder="1" applyAlignment="1" applyProtection="1">
      <alignment horizontal="center" wrapText="1"/>
      <protection/>
    </xf>
    <xf numFmtId="1" fontId="18" fillId="0" borderId="28" xfId="60" applyNumberFormat="1" applyFont="1" applyFill="1" applyBorder="1" applyAlignment="1" applyProtection="1">
      <alignment horizontal="center" wrapText="1"/>
      <protection/>
    </xf>
    <xf numFmtId="1" fontId="18" fillId="0" borderId="10" xfId="60" applyNumberFormat="1" applyFont="1" applyFill="1" applyBorder="1" applyAlignment="1" applyProtection="1">
      <alignment horizontal="center" wrapText="1"/>
      <protection/>
    </xf>
    <xf numFmtId="1" fontId="18" fillId="0" borderId="27" xfId="60" applyNumberFormat="1" applyFont="1" applyFill="1" applyBorder="1" applyAlignment="1" applyProtection="1">
      <alignment horizontal="center" wrapText="1"/>
      <protection/>
    </xf>
    <xf numFmtId="1" fontId="0" fillId="0" borderId="22" xfId="0" applyNumberFormat="1" applyFont="1" applyFill="1" applyBorder="1" applyAlignment="1" applyProtection="1">
      <alignment horizontal="center" wrapText="1"/>
      <protection/>
    </xf>
    <xf numFmtId="1" fontId="0" fillId="0" borderId="23" xfId="0" applyNumberFormat="1" applyFont="1" applyFill="1" applyBorder="1" applyAlignment="1" applyProtection="1">
      <alignment horizontal="center" wrapText="1"/>
      <protection/>
    </xf>
    <xf numFmtId="1" fontId="3" fillId="0" borderId="25"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1" fontId="0" fillId="0" borderId="32" xfId="60" applyNumberFormat="1" applyFont="1" applyFill="1" applyBorder="1" applyAlignment="1" applyProtection="1">
      <alignment horizontal="center" wrapText="1"/>
      <protection/>
    </xf>
    <xf numFmtId="10" fontId="0" fillId="0" borderId="32" xfId="0" applyNumberFormat="1" applyFont="1" applyFill="1" applyBorder="1" applyAlignment="1" applyProtection="1">
      <alignment horizontal="center" wrapText="1"/>
      <protection/>
    </xf>
    <xf numFmtId="1" fontId="0" fillId="0" borderId="42" xfId="0" applyNumberFormat="1" applyFont="1" applyFill="1" applyBorder="1" applyAlignment="1" applyProtection="1">
      <alignment horizontal="left" vertical="top" wrapText="1"/>
      <protection/>
    </xf>
    <xf numFmtId="172" fontId="2" fillId="0" borderId="42" xfId="0" applyNumberFormat="1" applyFont="1" applyFill="1" applyBorder="1" applyAlignment="1" applyProtection="1">
      <alignment horizontal="center"/>
      <protection/>
    </xf>
    <xf numFmtId="172" fontId="2" fillId="0" borderId="31" xfId="0" applyNumberFormat="1" applyFont="1" applyFill="1" applyBorder="1" applyAlignment="1" applyProtection="1">
      <alignment horizontal="center"/>
      <protection/>
    </xf>
    <xf numFmtId="10" fontId="0" fillId="0" borderId="32" xfId="60" applyNumberFormat="1" applyFont="1" applyFill="1" applyBorder="1" applyAlignment="1" applyProtection="1">
      <alignment horizontal="center" wrapText="1"/>
      <protection/>
    </xf>
    <xf numFmtId="0" fontId="115" fillId="0" borderId="0" xfId="0" applyFont="1" applyAlignment="1" applyProtection="1">
      <alignment horizontal="center"/>
      <protection/>
    </xf>
    <xf numFmtId="0" fontId="0" fillId="0" borderId="0" xfId="0" applyBorder="1" applyAlignment="1" applyProtection="1">
      <alignment horizontal="center"/>
      <protection/>
    </xf>
    <xf numFmtId="167" fontId="0" fillId="0" borderId="0" xfId="0" applyNumberFormat="1" applyBorder="1" applyAlignment="1" applyProtection="1">
      <alignment horizontal="center"/>
      <protection/>
    </xf>
    <xf numFmtId="167" fontId="0" fillId="0" borderId="10"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3" fontId="0" fillId="0" borderId="10" xfId="0" applyNumberFormat="1" applyBorder="1" applyAlignment="1" applyProtection="1">
      <alignment horizontal="center"/>
      <protection/>
    </xf>
    <xf numFmtId="0" fontId="0" fillId="0" borderId="0" xfId="0" applyBorder="1" applyAlignment="1" applyProtection="1">
      <alignment horizontal="center" vertical="top" wrapText="1"/>
      <protection/>
    </xf>
    <xf numFmtId="3" fontId="0" fillId="0" borderId="10" xfId="0" applyNumberFormat="1" applyBorder="1" applyAlignment="1" applyProtection="1">
      <alignment horizontal="center" wrapText="1"/>
      <protection/>
    </xf>
    <xf numFmtId="0" fontId="0" fillId="0" borderId="10" xfId="0" applyBorder="1" applyAlignment="1" applyProtection="1">
      <alignment horizontal="center" wrapText="1"/>
      <protection/>
    </xf>
    <xf numFmtId="167" fontId="13" fillId="0" borderId="10" xfId="0" applyNumberFormat="1" applyFont="1" applyBorder="1" applyAlignment="1" applyProtection="1">
      <alignment horizontal="center"/>
      <protection locked="0"/>
    </xf>
    <xf numFmtId="3" fontId="13" fillId="0" borderId="42" xfId="0" applyNumberFormat="1" applyFont="1" applyBorder="1" applyAlignment="1">
      <alignment horizontal="center" wrapText="1"/>
    </xf>
    <xf numFmtId="0" fontId="116" fillId="0" borderId="0" xfId="0" applyFont="1" applyAlignment="1">
      <alignment horizontal="center"/>
    </xf>
    <xf numFmtId="0" fontId="13" fillId="0" borderId="10" xfId="0" applyFont="1" applyBorder="1" applyAlignment="1" applyProtection="1">
      <alignment horizontal="center"/>
      <protection locked="0"/>
    </xf>
    <xf numFmtId="0" fontId="117" fillId="0" borderId="0" xfId="0" applyFont="1" applyBorder="1" applyAlignment="1" applyProtection="1">
      <alignment horizontal="center"/>
      <protection/>
    </xf>
    <xf numFmtId="0" fontId="117" fillId="0" borderId="0" xfId="0" applyFont="1" applyAlignment="1" applyProtection="1">
      <alignment horizontal="center"/>
      <protection/>
    </xf>
    <xf numFmtId="0" fontId="94" fillId="0" borderId="0" xfId="0" applyFont="1" applyAlignment="1" applyProtection="1">
      <alignment horizontal="center"/>
      <protection/>
    </xf>
    <xf numFmtId="172" fontId="0" fillId="0" borderId="0" xfId="0" applyNumberFormat="1" applyAlignment="1" applyProtection="1">
      <alignment horizontal="center"/>
      <protection/>
    </xf>
    <xf numFmtId="43" fontId="99" fillId="0" borderId="0" xfId="42" applyFont="1" applyFill="1" applyBorder="1" applyAlignment="1" applyProtection="1" quotePrefix="1">
      <alignment/>
      <protection/>
    </xf>
    <xf numFmtId="0" fontId="8" fillId="0" borderId="10" xfId="0" applyFont="1" applyBorder="1" applyAlignment="1" applyProtection="1">
      <alignment horizontal="center"/>
      <protection locked="0"/>
    </xf>
    <xf numFmtId="1" fontId="18" fillId="37" borderId="33" xfId="0" applyNumberFormat="1" applyFont="1" applyFill="1" applyBorder="1" applyAlignment="1" applyProtection="1">
      <alignment horizontal="center"/>
      <protection/>
    </xf>
    <xf numFmtId="1" fontId="18" fillId="37" borderId="30" xfId="0" applyNumberFormat="1" applyFont="1" applyFill="1" applyBorder="1" applyAlignment="1" applyProtection="1">
      <alignment horizontal="center"/>
      <protection/>
    </xf>
    <xf numFmtId="1" fontId="18" fillId="37" borderId="32" xfId="0" applyNumberFormat="1" applyFont="1" applyFill="1" applyBorder="1" applyAlignment="1" applyProtection="1">
      <alignment horizontal="center"/>
      <protection/>
    </xf>
    <xf numFmtId="1" fontId="0" fillId="0" borderId="33" xfId="0" applyNumberFormat="1" applyFill="1" applyBorder="1" applyAlignment="1" applyProtection="1">
      <alignment horizontal="center"/>
      <protection/>
    </xf>
    <xf numFmtId="1" fontId="0" fillId="0" borderId="30" xfId="0" applyNumberFormat="1" applyFill="1" applyBorder="1" applyAlignment="1" applyProtection="1">
      <alignment horizontal="center"/>
      <protection/>
    </xf>
    <xf numFmtId="43" fontId="0" fillId="0" borderId="22" xfId="42" applyFont="1" applyFill="1" applyBorder="1" applyAlignment="1" applyProtection="1">
      <alignment horizontal="left" vertical="top" wrapText="1"/>
      <protection locked="0"/>
    </xf>
    <xf numFmtId="43" fontId="0" fillId="0" borderId="23" xfId="42" applyFont="1" applyFill="1" applyBorder="1" applyAlignment="1" applyProtection="1">
      <alignment horizontal="left" vertical="top" wrapText="1"/>
      <protection locked="0"/>
    </xf>
    <xf numFmtId="43" fontId="0" fillId="0" borderId="25" xfId="42" applyFont="1" applyFill="1" applyBorder="1" applyAlignment="1" applyProtection="1">
      <alignment horizontal="left" vertical="top" wrapText="1"/>
      <protection locked="0"/>
    </xf>
    <xf numFmtId="43" fontId="0" fillId="0" borderId="0" xfId="42" applyFont="1" applyFill="1" applyBorder="1" applyAlignment="1" applyProtection="1">
      <alignment horizontal="left" vertical="top" wrapText="1"/>
      <protection locked="0"/>
    </xf>
    <xf numFmtId="43" fontId="0" fillId="0" borderId="28" xfId="42" applyFont="1" applyFill="1" applyBorder="1" applyAlignment="1" applyProtection="1">
      <alignment horizontal="left" vertical="top" wrapText="1"/>
      <protection locked="0"/>
    </xf>
    <xf numFmtId="43" fontId="0" fillId="0" borderId="10" xfId="42" applyFont="1" applyFill="1" applyBorder="1" applyAlignment="1" applyProtection="1">
      <alignment horizontal="left" vertical="top" wrapText="1"/>
      <protection locked="0"/>
    </xf>
    <xf numFmtId="1" fontId="0" fillId="0" borderId="22" xfId="0" applyNumberFormat="1" applyFont="1" applyFill="1" applyBorder="1" applyAlignment="1" applyProtection="1">
      <alignment horizontal="left" wrapText="1"/>
      <protection/>
    </xf>
    <xf numFmtId="1" fontId="0" fillId="0" borderId="23" xfId="0" applyNumberFormat="1" applyFont="1" applyFill="1" applyBorder="1" applyAlignment="1" applyProtection="1">
      <alignment horizontal="left" wrapText="1"/>
      <protection/>
    </xf>
    <xf numFmtId="2" fontId="0" fillId="0" borderId="33" xfId="0" applyNumberFormat="1" applyFont="1" applyFill="1" applyBorder="1" applyAlignment="1" applyProtection="1">
      <alignment horizontal="center"/>
      <protection/>
    </xf>
    <xf numFmtId="2" fontId="0" fillId="0" borderId="30" xfId="0" applyNumberFormat="1" applyFont="1" applyFill="1" applyBorder="1" applyAlignment="1" applyProtection="1">
      <alignment horizontal="center"/>
      <protection/>
    </xf>
    <xf numFmtId="2" fontId="0" fillId="0" borderId="32" xfId="0" applyNumberFormat="1" applyFont="1" applyFill="1" applyBorder="1" applyAlignment="1" applyProtection="1">
      <alignment horizontal="center"/>
      <protection/>
    </xf>
    <xf numFmtId="165" fontId="0" fillId="0" borderId="29" xfId="42" applyNumberFormat="1" applyFont="1" applyFill="1" applyBorder="1" applyAlignment="1" applyProtection="1">
      <alignment horizontal="center"/>
      <protection/>
    </xf>
    <xf numFmtId="43" fontId="0" fillId="0" borderId="22" xfId="42" applyFont="1" applyFill="1" applyBorder="1" applyAlignment="1" applyProtection="1">
      <alignment horizontal="left" vertical="top" wrapText="1"/>
      <protection locked="0"/>
    </xf>
    <xf numFmtId="43" fontId="0" fillId="0" borderId="24" xfId="42" applyFont="1" applyFill="1" applyBorder="1" applyAlignment="1" applyProtection="1">
      <alignment horizontal="left" vertical="top" wrapText="1"/>
      <protection locked="0"/>
    </xf>
    <xf numFmtId="43" fontId="0" fillId="0" borderId="26" xfId="42" applyFont="1" applyFill="1" applyBorder="1" applyAlignment="1" applyProtection="1">
      <alignment horizontal="left" vertical="top" wrapText="1"/>
      <protection locked="0"/>
    </xf>
    <xf numFmtId="43" fontId="0" fillId="0" borderId="27" xfId="42" applyFont="1" applyFill="1" applyBorder="1" applyAlignment="1" applyProtection="1">
      <alignment horizontal="left" vertical="top" wrapText="1"/>
      <protection locked="0"/>
    </xf>
    <xf numFmtId="10" fontId="0" fillId="0" borderId="29" xfId="60" applyNumberFormat="1" applyFont="1" applyFill="1" applyBorder="1" applyAlignment="1" applyProtection="1">
      <alignment horizontal="center" wrapText="1"/>
      <protection/>
    </xf>
    <xf numFmtId="1" fontId="0" fillId="0" borderId="29" xfId="0" applyNumberFormat="1" applyFont="1" applyFill="1" applyBorder="1" applyAlignment="1" applyProtection="1">
      <alignment horizontal="center" wrapText="1"/>
      <protection locked="0"/>
    </xf>
    <xf numFmtId="43" fontId="0" fillId="0" borderId="29" xfId="42" applyFont="1" applyFill="1" applyBorder="1" applyAlignment="1" applyProtection="1">
      <alignment horizontal="center"/>
      <protection/>
    </xf>
    <xf numFmtId="43" fontId="20" fillId="0" borderId="29" xfId="42" applyFont="1" applyFill="1" applyBorder="1" applyAlignment="1" applyProtection="1">
      <alignment horizontal="center" wrapText="1"/>
      <protection/>
    </xf>
    <xf numFmtId="1" fontId="0" fillId="0" borderId="25" xfId="0" applyNumberFormat="1" applyFill="1" applyBorder="1" applyAlignment="1" applyProtection="1">
      <alignment horizontal="center" wrapText="1"/>
      <protection locked="0"/>
    </xf>
    <xf numFmtId="1" fontId="0" fillId="0" borderId="0" xfId="0" applyNumberFormat="1" applyFont="1" applyFill="1" applyBorder="1" applyAlignment="1" applyProtection="1">
      <alignment horizontal="center" wrapText="1"/>
      <protection locked="0"/>
    </xf>
    <xf numFmtId="1" fontId="0" fillId="0" borderId="29" xfId="0" applyNumberFormat="1" applyFont="1" applyFill="1" applyBorder="1" applyAlignment="1" applyProtection="1">
      <alignment horizontal="center" wrapText="1"/>
      <protection locked="0"/>
    </xf>
    <xf numFmtId="1" fontId="0" fillId="0" borderId="29" xfId="0" applyNumberFormat="1" applyFill="1" applyBorder="1" applyAlignment="1" applyProtection="1">
      <alignment horizontal="center" wrapText="1"/>
      <protection locked="0"/>
    </xf>
    <xf numFmtId="43" fontId="0" fillId="0" borderId="41" xfId="42" applyFont="1" applyFill="1" applyBorder="1" applyAlignment="1" applyProtection="1">
      <alignment horizontal="center"/>
      <protection/>
    </xf>
    <xf numFmtId="43" fontId="0" fillId="0" borderId="31" xfId="42" applyFont="1" applyFill="1" applyBorder="1" applyAlignment="1" applyProtection="1">
      <alignment horizontal="center"/>
      <protection/>
    </xf>
    <xf numFmtId="1" fontId="11" fillId="0" borderId="29" xfId="0" applyNumberFormat="1" applyFont="1" applyFill="1" applyBorder="1" applyAlignment="1" applyProtection="1">
      <alignment horizontal="center" wrapText="1"/>
      <protection locked="0"/>
    </xf>
    <xf numFmtId="165" fontId="2" fillId="0" borderId="29" xfId="42" applyNumberFormat="1" applyFont="1" applyFill="1" applyBorder="1" applyAlignment="1" applyProtection="1">
      <alignment horizontal="center"/>
      <protection/>
    </xf>
    <xf numFmtId="1" fontId="0" fillId="0" borderId="33" xfId="0" applyNumberFormat="1" applyFont="1" applyFill="1" applyBorder="1" applyAlignment="1" applyProtection="1">
      <alignment horizontal="center" wrapText="1"/>
      <protection/>
    </xf>
    <xf numFmtId="1" fontId="0" fillId="0" borderId="30" xfId="0" applyNumberFormat="1" applyFont="1" applyFill="1" applyBorder="1" applyAlignment="1" applyProtection="1">
      <alignment horizontal="center" wrapText="1"/>
      <protection/>
    </xf>
    <xf numFmtId="1" fontId="0" fillId="0" borderId="32" xfId="0" applyNumberFormat="1" applyFont="1" applyFill="1" applyBorder="1" applyAlignment="1" applyProtection="1">
      <alignment horizontal="center" wrapText="1"/>
      <protection/>
    </xf>
    <xf numFmtId="172" fontId="0" fillId="0" borderId="0" xfId="0" applyNumberFormat="1" applyAlignment="1">
      <alignment horizontal="center"/>
    </xf>
    <xf numFmtId="1" fontId="0" fillId="0" borderId="42" xfId="0" applyNumberFormat="1" applyFill="1" applyBorder="1" applyAlignment="1" applyProtection="1">
      <alignment horizontal="center"/>
      <protection/>
    </xf>
    <xf numFmtId="1" fontId="0" fillId="0" borderId="26" xfId="0" applyNumberFormat="1" applyFont="1" applyFill="1" applyBorder="1" applyAlignment="1" applyProtection="1">
      <alignment horizontal="center" wrapText="1"/>
      <protection/>
    </xf>
    <xf numFmtId="1" fontId="0" fillId="0" borderId="27" xfId="0" applyNumberFormat="1" applyFont="1" applyFill="1" applyBorder="1" applyAlignment="1" applyProtection="1">
      <alignment horizontal="center" wrapText="1"/>
      <protection/>
    </xf>
    <xf numFmtId="0" fontId="0" fillId="0" borderId="0" xfId="0" applyBorder="1" applyAlignment="1" applyProtection="1" quotePrefix="1">
      <alignment horizontal="left"/>
      <protection/>
    </xf>
    <xf numFmtId="0" fontId="0" fillId="0" borderId="0" xfId="0" applyBorder="1" applyAlignment="1" applyProtection="1">
      <alignment horizontal="left" wrapText="1"/>
      <protection/>
    </xf>
    <xf numFmtId="0" fontId="0" fillId="0" borderId="0" xfId="0" applyBorder="1" applyAlignment="1" applyProtection="1">
      <alignment horizontal="left"/>
      <protection/>
    </xf>
    <xf numFmtId="0" fontId="0" fillId="0" borderId="0" xfId="0" applyFont="1" applyAlignment="1" applyProtection="1">
      <alignment horizontal="left"/>
      <protection/>
    </xf>
    <xf numFmtId="165" fontId="0" fillId="0" borderId="0" xfId="42" applyNumberFormat="1" applyFont="1" applyAlignment="1" applyProtection="1">
      <alignment horizontal="center" wrapText="1"/>
      <protection/>
    </xf>
    <xf numFmtId="14" fontId="0" fillId="0" borderId="10" xfId="0" applyNumberFormat="1" applyFont="1" applyBorder="1" applyAlignment="1" applyProtection="1">
      <alignment horizontal="center"/>
      <protection locked="0"/>
    </xf>
    <xf numFmtId="14" fontId="0" fillId="0" borderId="10" xfId="0" applyNumberFormat="1" applyBorder="1" applyAlignment="1" applyProtection="1">
      <alignment horizontal="center"/>
      <protection locked="0"/>
    </xf>
    <xf numFmtId="1" fontId="118" fillId="0" borderId="0" xfId="0" applyNumberFormat="1" applyFont="1" applyAlignment="1" applyProtection="1">
      <alignment horizontal="center"/>
      <protection/>
    </xf>
    <xf numFmtId="0" fontId="118" fillId="0" borderId="0" xfId="0" applyFont="1" applyAlignment="1" applyProtection="1">
      <alignment horizontal="center"/>
      <protection/>
    </xf>
    <xf numFmtId="165" fontId="0" fillId="0" borderId="0" xfId="42" applyNumberFormat="1" applyFont="1" applyAlignment="1" applyProtection="1">
      <alignment horizontal="center" wrapText="1"/>
      <protection/>
    </xf>
    <xf numFmtId="0" fontId="17" fillId="0" borderId="0" xfId="0" applyFont="1" applyAlignment="1" applyProtection="1">
      <alignment horizontal="center"/>
      <protection/>
    </xf>
    <xf numFmtId="3" fontId="13" fillId="0" borderId="10" xfId="0" applyNumberFormat="1" applyFont="1" applyBorder="1" applyAlignment="1" applyProtection="1">
      <alignment horizontal="center" wrapText="1"/>
      <protection/>
    </xf>
    <xf numFmtId="1" fontId="119" fillId="0" borderId="0" xfId="0" applyNumberFormat="1" applyFont="1" applyAlignment="1">
      <alignment horizontal="center"/>
    </xf>
    <xf numFmtId="0" fontId="119" fillId="0" borderId="0" xfId="0" applyFont="1" applyAlignment="1">
      <alignment horizontal="center"/>
    </xf>
    <xf numFmtId="0" fontId="120" fillId="0" borderId="0" xfId="0" applyFont="1" applyBorder="1" applyAlignment="1" applyProtection="1">
      <alignment horizontal="center"/>
      <protection/>
    </xf>
    <xf numFmtId="0" fontId="17" fillId="0" borderId="23" xfId="0" applyFont="1" applyBorder="1" applyAlignment="1" applyProtection="1">
      <alignment horizontal="center"/>
      <protection/>
    </xf>
    <xf numFmtId="3" fontId="121" fillId="0" borderId="10" xfId="0" applyNumberFormat="1" applyFont="1" applyBorder="1" applyAlignment="1" applyProtection="1" quotePrefix="1">
      <alignment horizontal="left"/>
      <protection/>
    </xf>
    <xf numFmtId="0" fontId="121" fillId="0" borderId="10" xfId="0" applyFont="1" applyBorder="1" applyAlignment="1" applyProtection="1">
      <alignment horizontal="left"/>
      <protection/>
    </xf>
    <xf numFmtId="1" fontId="120" fillId="0" borderId="0" xfId="0" applyNumberFormat="1" applyFont="1" applyAlignment="1" applyProtection="1">
      <alignment horizontal="center"/>
      <protection/>
    </xf>
    <xf numFmtId="0" fontId="120" fillId="0" borderId="0" xfId="0" applyFont="1" applyAlignment="1" applyProtection="1">
      <alignment horizontal="center"/>
      <protection/>
    </xf>
    <xf numFmtId="0" fontId="122" fillId="0" borderId="0" xfId="0" applyFont="1" applyAlignment="1" applyProtection="1">
      <alignment horizontal="center"/>
      <protection/>
    </xf>
    <xf numFmtId="1" fontId="2" fillId="0" borderId="41"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locked="0"/>
    </xf>
    <xf numFmtId="43" fontId="0" fillId="0" borderId="22" xfId="42" applyFont="1" applyFill="1" applyBorder="1" applyAlignment="1" applyProtection="1">
      <alignment horizontal="left" vertical="top" wrapText="1"/>
      <protection locked="0"/>
    </xf>
    <xf numFmtId="1" fontId="0" fillId="0" borderId="25" xfId="0" applyNumberFormat="1" applyFont="1" applyFill="1" applyBorder="1" applyAlignment="1" applyProtection="1">
      <alignment horizontal="center" wrapText="1"/>
      <protection/>
    </xf>
    <xf numFmtId="1" fontId="0" fillId="0" borderId="28" xfId="0" applyNumberFormat="1" applyFont="1" applyFill="1" applyBorder="1" applyAlignment="1" applyProtection="1">
      <alignment horizontal="center" wrapText="1"/>
      <protection/>
    </xf>
    <xf numFmtId="43" fontId="2" fillId="0" borderId="31" xfId="42" applyFont="1" applyFill="1" applyBorder="1" applyAlignment="1" applyProtection="1">
      <alignment horizontal="left" vertical="top" wrapText="1"/>
      <protection/>
    </xf>
    <xf numFmtId="43" fontId="2" fillId="0" borderId="41" xfId="42" applyFont="1" applyFill="1" applyBorder="1" applyAlignment="1" applyProtection="1">
      <alignment horizontal="left" vertical="top" wrapText="1"/>
      <protection/>
    </xf>
    <xf numFmtId="1" fontId="18" fillId="36" borderId="33" xfId="0" applyNumberFormat="1" applyFont="1" applyFill="1" applyBorder="1" applyAlignment="1" applyProtection="1">
      <alignment horizontal="center"/>
      <protection/>
    </xf>
    <xf numFmtId="1" fontId="18" fillId="36" borderId="30" xfId="0" applyNumberFormat="1" applyFont="1" applyFill="1" applyBorder="1" applyAlignment="1" applyProtection="1">
      <alignment horizontal="center"/>
      <protection/>
    </xf>
    <xf numFmtId="1" fontId="18" fillId="36" borderId="32" xfId="0" applyNumberFormat="1" applyFont="1" applyFill="1" applyBorder="1" applyAlignment="1" applyProtection="1">
      <alignment horizontal="center"/>
      <protection/>
    </xf>
    <xf numFmtId="43" fontId="2" fillId="0" borderId="31" xfId="42" applyFont="1" applyFill="1" applyBorder="1" applyAlignment="1" applyProtection="1">
      <alignment horizontal="center" wrapText="1"/>
      <protection/>
    </xf>
    <xf numFmtId="43" fontId="2" fillId="0" borderId="41" xfId="42" applyFont="1" applyFill="1" applyBorder="1" applyAlignment="1" applyProtection="1">
      <alignment horizontal="center" wrapText="1"/>
      <protection/>
    </xf>
    <xf numFmtId="1" fontId="0" fillId="0" borderId="24" xfId="0" applyNumberFormat="1" applyFont="1" applyFill="1" applyBorder="1" applyAlignment="1" applyProtection="1">
      <alignment horizontal="center" wrapText="1"/>
      <protection/>
    </xf>
    <xf numFmtId="1" fontId="11" fillId="0" borderId="42" xfId="0" applyNumberFormat="1" applyFont="1" applyFill="1" applyBorder="1" applyAlignment="1" applyProtection="1">
      <alignment horizontal="center" wrapText="1"/>
      <protection/>
    </xf>
    <xf numFmtId="1" fontId="23" fillId="0" borderId="31" xfId="0" applyNumberFormat="1" applyFont="1" applyFill="1" applyBorder="1" applyAlignment="1" applyProtection="1">
      <alignment horizontal="center" wrapText="1"/>
      <protection/>
    </xf>
    <xf numFmtId="1" fontId="23" fillId="0" borderId="29" xfId="0" applyNumberFormat="1" applyFont="1" applyFill="1" applyBorder="1" applyAlignment="1" applyProtection="1">
      <alignment horizontal="center" wrapText="1"/>
      <protection/>
    </xf>
    <xf numFmtId="0" fontId="123" fillId="0" borderId="0" xfId="0" applyFont="1" applyAlignment="1" applyProtection="1">
      <alignment horizontal="center"/>
      <protection/>
    </xf>
    <xf numFmtId="4" fontId="123" fillId="0" borderId="0" xfId="0" applyNumberFormat="1" applyFont="1" applyAlignment="1" applyProtection="1">
      <alignment horizontal="center"/>
      <protection/>
    </xf>
    <xf numFmtId="4" fontId="124" fillId="0" borderId="0" xfId="0" applyNumberFormat="1" applyFont="1" applyAlignment="1" applyProtection="1">
      <alignment horizontal="center"/>
      <protection/>
    </xf>
    <xf numFmtId="0" fontId="124" fillId="0" borderId="0" xfId="0" applyFont="1" applyAlignment="1" applyProtection="1">
      <alignment horizontal="center"/>
      <protection/>
    </xf>
    <xf numFmtId="0" fontId="125" fillId="0" borderId="0" xfId="0" applyFont="1" applyBorder="1" applyAlignment="1" applyProtection="1">
      <alignment horizontal="center"/>
      <protection/>
    </xf>
    <xf numFmtId="167" fontId="13" fillId="0" borderId="10" xfId="0" applyNumberFormat="1" applyFont="1" applyBorder="1" applyAlignment="1" applyProtection="1" quotePrefix="1">
      <alignment horizontal="center"/>
      <protection locked="0"/>
    </xf>
    <xf numFmtId="3" fontId="121" fillId="0" borderId="10" xfId="0" applyNumberFormat="1" applyFont="1" applyBorder="1" applyAlignment="1" applyProtection="1">
      <alignment horizontal="left"/>
      <protection/>
    </xf>
    <xf numFmtId="0" fontId="8" fillId="0" borderId="0" xfId="0" applyFont="1" applyAlignment="1" applyProtection="1">
      <alignment horizontal="left" wrapText="1"/>
      <protection locked="0"/>
    </xf>
    <xf numFmtId="0" fontId="8" fillId="0" borderId="0" xfId="0" applyFont="1" applyAlignment="1" applyProtection="1">
      <alignment horizontal="left"/>
      <protection locked="0"/>
    </xf>
    <xf numFmtId="4" fontId="125" fillId="0" borderId="0" xfId="0" applyNumberFormat="1" applyFont="1" applyAlignment="1" applyProtection="1">
      <alignment horizontal="center"/>
      <protection/>
    </xf>
    <xf numFmtId="0" fontId="125" fillId="0" borderId="0" xfId="0" applyFont="1" applyAlignment="1" applyProtection="1">
      <alignment horizontal="center"/>
      <protection/>
    </xf>
    <xf numFmtId="0" fontId="126" fillId="0" borderId="0" xfId="0" applyFont="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oices" xfId="57"/>
    <cellStyle name="Note" xfId="58"/>
    <cellStyle name="Output" xfId="59"/>
    <cellStyle name="Percent" xfId="60"/>
    <cellStyle name="Title" xfId="61"/>
    <cellStyle name="Total" xfId="62"/>
    <cellStyle name="Warning Text" xfId="6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44</xdr:row>
      <xdr:rowOff>152400</xdr:rowOff>
    </xdr:from>
    <xdr:to>
      <xdr:col>5</xdr:col>
      <xdr:colOff>323850</xdr:colOff>
      <xdr:row>46</xdr:row>
      <xdr:rowOff>19050</xdr:rowOff>
    </xdr:to>
    <xdr:pic>
      <xdr:nvPicPr>
        <xdr:cNvPr id="1" name="CheckBox2"/>
        <xdr:cNvPicPr preferRelativeResize="1">
          <a:picLocks noChangeAspect="1"/>
        </xdr:cNvPicPr>
      </xdr:nvPicPr>
      <xdr:blipFill>
        <a:blip r:embed="rId1"/>
        <a:stretch>
          <a:fillRect/>
        </a:stretch>
      </xdr:blipFill>
      <xdr:spPr>
        <a:xfrm>
          <a:off x="3876675" y="10086975"/>
          <a:ext cx="238125" cy="228600"/>
        </a:xfrm>
        <a:prstGeom prst="rect">
          <a:avLst/>
        </a:prstGeom>
        <a:noFill/>
        <a:ln w="9525" cmpd="sng">
          <a:noFill/>
        </a:ln>
      </xdr:spPr>
    </xdr:pic>
    <xdr:clientData/>
  </xdr:twoCellAnchor>
  <xdr:twoCellAnchor editAs="oneCell">
    <xdr:from>
      <xdr:col>3</xdr:col>
      <xdr:colOff>47625</xdr:colOff>
      <xdr:row>47</xdr:row>
      <xdr:rowOff>38100</xdr:rowOff>
    </xdr:from>
    <xdr:to>
      <xdr:col>3</xdr:col>
      <xdr:colOff>285750</xdr:colOff>
      <xdr:row>48</xdr:row>
      <xdr:rowOff>28575</xdr:rowOff>
    </xdr:to>
    <xdr:pic>
      <xdr:nvPicPr>
        <xdr:cNvPr id="2" name="CheckBox3"/>
        <xdr:cNvPicPr preferRelativeResize="1">
          <a:picLocks noChangeAspect="1"/>
        </xdr:cNvPicPr>
      </xdr:nvPicPr>
      <xdr:blipFill>
        <a:blip r:embed="rId2"/>
        <a:stretch>
          <a:fillRect/>
        </a:stretch>
      </xdr:blipFill>
      <xdr:spPr>
        <a:xfrm>
          <a:off x="2238375" y="10534650"/>
          <a:ext cx="238125" cy="190500"/>
        </a:xfrm>
        <a:prstGeom prst="rect">
          <a:avLst/>
        </a:prstGeom>
        <a:noFill/>
        <a:ln w="9525" cmpd="sng">
          <a:noFill/>
        </a:ln>
      </xdr:spPr>
    </xdr:pic>
    <xdr:clientData/>
  </xdr:twoCellAnchor>
  <xdr:twoCellAnchor editAs="oneCell">
    <xdr:from>
      <xdr:col>3</xdr:col>
      <xdr:colOff>47625</xdr:colOff>
      <xdr:row>46</xdr:row>
      <xdr:rowOff>38100</xdr:rowOff>
    </xdr:from>
    <xdr:to>
      <xdr:col>3</xdr:col>
      <xdr:colOff>285750</xdr:colOff>
      <xdr:row>47</xdr:row>
      <xdr:rowOff>28575</xdr:rowOff>
    </xdr:to>
    <xdr:pic>
      <xdr:nvPicPr>
        <xdr:cNvPr id="3" name="CheckBox4"/>
        <xdr:cNvPicPr preferRelativeResize="1">
          <a:picLocks noChangeAspect="1"/>
        </xdr:cNvPicPr>
      </xdr:nvPicPr>
      <xdr:blipFill>
        <a:blip r:embed="rId2"/>
        <a:stretch>
          <a:fillRect/>
        </a:stretch>
      </xdr:blipFill>
      <xdr:spPr>
        <a:xfrm>
          <a:off x="2238375" y="10334625"/>
          <a:ext cx="238125" cy="190500"/>
        </a:xfrm>
        <a:prstGeom prst="rect">
          <a:avLst/>
        </a:prstGeom>
        <a:noFill/>
        <a:ln w="9525" cmpd="sng">
          <a:noFill/>
        </a:ln>
      </xdr:spPr>
    </xdr:pic>
    <xdr:clientData/>
  </xdr:twoCellAnchor>
  <xdr:twoCellAnchor editAs="oneCell">
    <xdr:from>
      <xdr:col>5</xdr:col>
      <xdr:colOff>85725</xdr:colOff>
      <xdr:row>45</xdr:row>
      <xdr:rowOff>0</xdr:rowOff>
    </xdr:from>
    <xdr:to>
      <xdr:col>5</xdr:col>
      <xdr:colOff>323850</xdr:colOff>
      <xdr:row>46</xdr:row>
      <xdr:rowOff>28575</xdr:rowOff>
    </xdr:to>
    <xdr:pic>
      <xdr:nvPicPr>
        <xdr:cNvPr id="4" name="CheckBox5"/>
        <xdr:cNvPicPr preferRelativeResize="1">
          <a:picLocks noChangeAspect="1"/>
        </xdr:cNvPicPr>
      </xdr:nvPicPr>
      <xdr:blipFill>
        <a:blip r:embed="rId1"/>
        <a:stretch>
          <a:fillRect/>
        </a:stretch>
      </xdr:blipFill>
      <xdr:spPr>
        <a:xfrm>
          <a:off x="3876675" y="10096500"/>
          <a:ext cx="238125" cy="228600"/>
        </a:xfrm>
        <a:prstGeom prst="rect">
          <a:avLst/>
        </a:prstGeom>
        <a:noFill/>
        <a:ln w="9525" cmpd="sng">
          <a:noFill/>
        </a:ln>
      </xdr:spPr>
    </xdr:pic>
    <xdr:clientData/>
  </xdr:twoCellAnchor>
  <xdr:twoCellAnchor editAs="oneCell">
    <xdr:from>
      <xdr:col>5</xdr:col>
      <xdr:colOff>85725</xdr:colOff>
      <xdr:row>46</xdr:row>
      <xdr:rowOff>9525</xdr:rowOff>
    </xdr:from>
    <xdr:to>
      <xdr:col>5</xdr:col>
      <xdr:colOff>323850</xdr:colOff>
      <xdr:row>46</xdr:row>
      <xdr:rowOff>200025</xdr:rowOff>
    </xdr:to>
    <xdr:pic>
      <xdr:nvPicPr>
        <xdr:cNvPr id="5" name="CheckBox6"/>
        <xdr:cNvPicPr preferRelativeResize="1">
          <a:picLocks noChangeAspect="1"/>
        </xdr:cNvPicPr>
      </xdr:nvPicPr>
      <xdr:blipFill>
        <a:blip r:embed="rId2"/>
        <a:stretch>
          <a:fillRect/>
        </a:stretch>
      </xdr:blipFill>
      <xdr:spPr>
        <a:xfrm>
          <a:off x="3876675" y="10306050"/>
          <a:ext cx="238125" cy="190500"/>
        </a:xfrm>
        <a:prstGeom prst="rect">
          <a:avLst/>
        </a:prstGeom>
        <a:noFill/>
        <a:ln w="9525" cmpd="sng">
          <a:noFill/>
        </a:ln>
      </xdr:spPr>
    </xdr:pic>
    <xdr:clientData/>
  </xdr:twoCellAnchor>
  <xdr:twoCellAnchor editAs="oneCell">
    <xdr:from>
      <xdr:col>5</xdr:col>
      <xdr:colOff>85725</xdr:colOff>
      <xdr:row>47</xdr:row>
      <xdr:rowOff>38100</xdr:rowOff>
    </xdr:from>
    <xdr:to>
      <xdr:col>5</xdr:col>
      <xdr:colOff>323850</xdr:colOff>
      <xdr:row>48</xdr:row>
      <xdr:rowOff>28575</xdr:rowOff>
    </xdr:to>
    <xdr:pic>
      <xdr:nvPicPr>
        <xdr:cNvPr id="6" name="CheckBox7"/>
        <xdr:cNvPicPr preferRelativeResize="1">
          <a:picLocks noChangeAspect="1"/>
        </xdr:cNvPicPr>
      </xdr:nvPicPr>
      <xdr:blipFill>
        <a:blip r:embed="rId2"/>
        <a:stretch>
          <a:fillRect/>
        </a:stretch>
      </xdr:blipFill>
      <xdr:spPr>
        <a:xfrm>
          <a:off x="3876675" y="10534650"/>
          <a:ext cx="238125" cy="190500"/>
        </a:xfrm>
        <a:prstGeom prst="rect">
          <a:avLst/>
        </a:prstGeom>
        <a:noFill/>
        <a:ln w="9525" cmpd="sng">
          <a:noFill/>
        </a:ln>
      </xdr:spPr>
    </xdr:pic>
    <xdr:clientData/>
  </xdr:twoCellAnchor>
  <xdr:twoCellAnchor editAs="oneCell">
    <xdr:from>
      <xdr:col>3</xdr:col>
      <xdr:colOff>47625</xdr:colOff>
      <xdr:row>45</xdr:row>
      <xdr:rowOff>9525</xdr:rowOff>
    </xdr:from>
    <xdr:to>
      <xdr:col>3</xdr:col>
      <xdr:colOff>285750</xdr:colOff>
      <xdr:row>46</xdr:row>
      <xdr:rowOff>38100</xdr:rowOff>
    </xdr:to>
    <xdr:pic>
      <xdr:nvPicPr>
        <xdr:cNvPr id="7" name="CheckBox1"/>
        <xdr:cNvPicPr preferRelativeResize="1">
          <a:picLocks noChangeAspect="1"/>
        </xdr:cNvPicPr>
      </xdr:nvPicPr>
      <xdr:blipFill>
        <a:blip r:embed="rId1"/>
        <a:stretch>
          <a:fillRect/>
        </a:stretch>
      </xdr:blipFill>
      <xdr:spPr>
        <a:xfrm>
          <a:off x="2238375" y="10106025"/>
          <a:ext cx="2381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rs.gov/pub/irs-pdf/p561.pdf"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rs.gov/pub/irs-pdf/p561.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irs.gov/pub/irs-pdf/p561.pdf" TargetMode="Externa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rs.gov/pub/irs-pdf/p561.pdf"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tabColor rgb="FFFFFF00"/>
    <pageSetUpPr fitToPage="1"/>
  </sheetPr>
  <dimension ref="A1:BZ544"/>
  <sheetViews>
    <sheetView showGridLines="0" tabSelected="1" zoomScalePageLayoutView="0" workbookViewId="0" topLeftCell="A1">
      <selection activeCell="F6" sqref="F6:K6"/>
    </sheetView>
  </sheetViews>
  <sheetFormatPr defaultColWidth="9.140625" defaultRowHeight="12.75"/>
  <cols>
    <col min="1" max="1" width="3.28125" style="689" customWidth="1"/>
    <col min="2" max="2" width="23.57421875" style="2" customWidth="1"/>
    <col min="3" max="4" width="9.140625" style="2" customWidth="1"/>
    <col min="5" max="5" width="19.140625" style="2" customWidth="1"/>
    <col min="6" max="26" width="9.140625" style="2" customWidth="1"/>
    <col min="27" max="27" width="15.00390625" style="2" hidden="1" customWidth="1"/>
    <col min="28" max="28" width="14.28125" style="2" hidden="1" customWidth="1"/>
    <col min="29" max="29" width="18.28125" style="2" hidden="1" customWidth="1"/>
    <col min="30" max="16384" width="9.140625" style="2" customWidth="1"/>
  </cols>
  <sheetData>
    <row r="1" spans="2:78" ht="12.75">
      <c r="B1" s="681">
        <f ca="1">NOW()</f>
        <v>44650.39911342593</v>
      </c>
      <c r="H1" s="762" t="s">
        <v>414</v>
      </c>
      <c r="I1" s="762"/>
      <c r="J1" s="763"/>
      <c r="K1" s="764"/>
      <c r="P1" s="679"/>
      <c r="BZ1" s="679" t="s">
        <v>413</v>
      </c>
    </row>
    <row r="2" spans="2:11" ht="15.75">
      <c r="B2" s="771" t="s">
        <v>415</v>
      </c>
      <c r="C2" s="771"/>
      <c r="D2" s="771"/>
      <c r="E2" s="771"/>
      <c r="F2" s="771"/>
      <c r="G2" s="771"/>
      <c r="H2" s="771"/>
      <c r="I2" s="771"/>
      <c r="J2" s="771"/>
      <c r="K2" s="771"/>
    </row>
    <row r="3" spans="2:11" ht="12.75">
      <c r="B3" s="774" t="s">
        <v>376</v>
      </c>
      <c r="C3" s="775"/>
      <c r="D3" s="775"/>
      <c r="E3" s="775"/>
      <c r="F3" s="775"/>
      <c r="G3" s="775"/>
      <c r="H3" s="775"/>
      <c r="I3" s="775"/>
      <c r="J3" s="775"/>
      <c r="K3" s="775"/>
    </row>
    <row r="4" spans="2:11" ht="12.75">
      <c r="B4" s="769" t="s">
        <v>377</v>
      </c>
      <c r="C4" s="769"/>
      <c r="D4" s="769"/>
      <c r="E4" s="769"/>
      <c r="F4" s="774" t="s">
        <v>455</v>
      </c>
      <c r="G4" s="775"/>
      <c r="H4" s="775"/>
      <c r="I4" s="775"/>
      <c r="J4" s="76"/>
      <c r="K4" s="76"/>
    </row>
    <row r="5" spans="2:29" ht="18">
      <c r="B5" s="777">
        <f>IF(AND(D20="Yes",F24="Yes"),"Common Provider",+AA5)</f>
      </c>
      <c r="C5" s="777"/>
      <c r="D5" s="777"/>
      <c r="E5" s="777"/>
      <c r="F5" s="777"/>
      <c r="G5" s="777"/>
      <c r="H5" s="777"/>
      <c r="I5" s="777"/>
      <c r="J5" s="777"/>
      <c r="K5" s="777"/>
      <c r="AA5" s="620">
        <f>IF(AND(D20="",F24=""),"",+AB5)</f>
      </c>
      <c r="AB5" s="620">
        <f>IF(AND(D20="Yes",F24="No"),"AAA Provider Only",+AC5)</f>
      </c>
      <c r="AC5" s="620">
        <f>IF(AND(D20="No",F24="Yes"),"Community Services Provider Only","")</f>
      </c>
    </row>
    <row r="6" spans="1:11" ht="24.75" customHeight="1">
      <c r="A6" s="704">
        <v>1</v>
      </c>
      <c r="B6" s="769" t="s">
        <v>394</v>
      </c>
      <c r="C6" s="769"/>
      <c r="D6" s="769"/>
      <c r="E6" s="769"/>
      <c r="F6" s="776"/>
      <c r="G6" s="776"/>
      <c r="H6" s="776"/>
      <c r="I6" s="776"/>
      <c r="J6" s="776"/>
      <c r="K6" s="776"/>
    </row>
    <row r="7" spans="1:11" ht="12.75">
      <c r="A7" s="704">
        <v>2</v>
      </c>
      <c r="B7" s="769" t="s">
        <v>334</v>
      </c>
      <c r="C7" s="769"/>
      <c r="D7" s="769"/>
      <c r="E7" s="769"/>
      <c r="F7" s="768"/>
      <c r="G7" s="768"/>
      <c r="H7" s="768"/>
      <c r="I7" s="768"/>
      <c r="J7" s="768"/>
      <c r="K7" s="768"/>
    </row>
    <row r="8" spans="1:11" ht="12.75">
      <c r="A8" s="704">
        <v>3</v>
      </c>
      <c r="B8" s="769" t="s">
        <v>335</v>
      </c>
      <c r="C8" s="769"/>
      <c r="D8" s="769"/>
      <c r="E8" s="769"/>
      <c r="F8" s="768"/>
      <c r="G8" s="768"/>
      <c r="H8" s="768"/>
      <c r="I8" s="768"/>
      <c r="J8" s="768"/>
      <c r="K8" s="768"/>
    </row>
    <row r="9" spans="1:11" ht="12.75">
      <c r="A9" s="704">
        <v>4</v>
      </c>
      <c r="B9" s="769" t="s">
        <v>337</v>
      </c>
      <c r="C9" s="769"/>
      <c r="D9" s="769"/>
      <c r="E9" s="769"/>
      <c r="F9" s="768"/>
      <c r="G9" s="768"/>
      <c r="H9" s="768"/>
      <c r="I9" s="768"/>
      <c r="J9" s="768"/>
      <c r="K9" s="768"/>
    </row>
    <row r="10" spans="1:11" ht="12.75">
      <c r="A10" s="704">
        <v>5</v>
      </c>
      <c r="B10" s="769" t="s">
        <v>336</v>
      </c>
      <c r="C10" s="769"/>
      <c r="D10" s="769"/>
      <c r="E10" s="769"/>
      <c r="F10" s="768"/>
      <c r="G10" s="768"/>
      <c r="H10" s="12"/>
      <c r="I10" s="12"/>
      <c r="J10" s="12"/>
      <c r="K10" s="12"/>
    </row>
    <row r="11" spans="1:11" ht="12.75">
      <c r="A11" s="704">
        <v>6</v>
      </c>
      <c r="B11" s="769" t="s">
        <v>338</v>
      </c>
      <c r="C11" s="769"/>
      <c r="D11" s="769"/>
      <c r="E11" s="769"/>
      <c r="F11" s="768"/>
      <c r="G11" s="768"/>
      <c r="H11" s="12"/>
      <c r="I11" s="12"/>
      <c r="J11" s="12"/>
      <c r="K11" s="12"/>
    </row>
    <row r="12" spans="1:11" ht="12.75">
      <c r="A12" s="704">
        <v>7</v>
      </c>
      <c r="B12" s="769" t="s">
        <v>378</v>
      </c>
      <c r="C12" s="769"/>
      <c r="D12" s="769"/>
      <c r="E12" s="769"/>
      <c r="F12" s="770"/>
      <c r="G12" s="765"/>
      <c r="H12" s="765"/>
      <c r="I12" s="765"/>
      <c r="J12" s="765"/>
      <c r="K12" s="12"/>
    </row>
    <row r="13" spans="1:11" ht="12.75">
      <c r="A13" s="704">
        <v>8</v>
      </c>
      <c r="B13" s="769" t="s">
        <v>379</v>
      </c>
      <c r="C13" s="769"/>
      <c r="D13" s="769"/>
      <c r="E13" s="769"/>
      <c r="F13" s="765"/>
      <c r="G13" s="765"/>
      <c r="H13" s="765"/>
      <c r="I13" s="765"/>
      <c r="J13" s="765"/>
      <c r="K13" s="765"/>
    </row>
    <row r="14" spans="1:11" ht="12.75">
      <c r="A14" s="704">
        <v>9</v>
      </c>
      <c r="B14" s="773" t="s">
        <v>411</v>
      </c>
      <c r="C14" s="769"/>
      <c r="D14" s="769"/>
      <c r="E14" s="769"/>
      <c r="F14" s="765"/>
      <c r="G14" s="765"/>
      <c r="H14" s="765"/>
      <c r="I14" s="765"/>
      <c r="J14" s="765"/>
      <c r="K14" s="765"/>
    </row>
    <row r="15" spans="1:11" ht="12.75">
      <c r="A15" s="704"/>
      <c r="B15" s="713"/>
      <c r="C15" s="713"/>
      <c r="D15" s="713"/>
      <c r="E15" s="713"/>
      <c r="F15" s="714"/>
      <c r="G15" s="714"/>
      <c r="H15" s="714"/>
      <c r="I15" s="714"/>
      <c r="J15" s="714"/>
      <c r="K15" s="714"/>
    </row>
    <row r="16" ht="12.75">
      <c r="A16" s="704"/>
    </row>
    <row r="17" spans="1:11" ht="12.75">
      <c r="A17" s="704">
        <v>10</v>
      </c>
      <c r="B17" s="634" t="s">
        <v>398</v>
      </c>
      <c r="C17" s="621"/>
      <c r="D17" s="622"/>
      <c r="E17" s="622"/>
      <c r="F17" s="622"/>
      <c r="G17" s="720"/>
      <c r="H17" s="623" t="str">
        <f>IF(G17="","Either Yes or No must be selected","")</f>
        <v>Either Yes or No must be selected</v>
      </c>
      <c r="I17" s="601"/>
      <c r="J17" s="601"/>
      <c r="K17" s="601"/>
    </row>
    <row r="18" spans="1:12" ht="12.75">
      <c r="A18" s="704">
        <v>11</v>
      </c>
      <c r="B18" s="634" t="s">
        <v>444</v>
      </c>
      <c r="C18" s="621"/>
      <c r="D18" s="622"/>
      <c r="E18" s="622"/>
      <c r="F18" s="767"/>
      <c r="G18" s="767"/>
      <c r="H18" s="767"/>
      <c r="I18" s="767"/>
      <c r="J18" s="767"/>
      <c r="K18" s="767"/>
      <c r="L18" s="624"/>
    </row>
    <row r="19" spans="1:29" ht="12.75">
      <c r="A19" s="704"/>
      <c r="B19" s="621"/>
      <c r="C19" s="621"/>
      <c r="D19" s="622"/>
      <c r="E19" s="622"/>
      <c r="F19" s="625">
        <f>AA19</f>
      </c>
      <c r="G19" s="626"/>
      <c r="H19" s="626"/>
      <c r="I19" s="626"/>
      <c r="J19" s="626"/>
      <c r="K19" s="626"/>
      <c r="L19" s="627"/>
      <c r="AA19" s="620">
        <f>IF(G17="No","",+AB19)</f>
      </c>
      <c r="AB19" s="620">
        <f>IF(G17="","",+AC19)</f>
      </c>
      <c r="AC19" s="628"/>
    </row>
    <row r="20" spans="1:30" ht="12.75">
      <c r="A20" s="704">
        <v>12</v>
      </c>
      <c r="B20" s="634" t="s">
        <v>399</v>
      </c>
      <c r="C20" s="621"/>
      <c r="D20" s="640"/>
      <c r="E20" s="629" t="str">
        <f>+AB20</f>
        <v>Either Yes or No must be selected</v>
      </c>
      <c r="F20" s="601"/>
      <c r="G20" s="622"/>
      <c r="H20" s="622"/>
      <c r="I20" s="601"/>
      <c r="J20" s="601"/>
      <c r="K20" s="601"/>
      <c r="AA20" s="630"/>
      <c r="AB20" s="620" t="str">
        <f>IF(D20="No",(IF(D21&gt;"","Either select Yes or delete AAA name",+AC20)),+AC20)</f>
        <v>Either Yes or No must be selected</v>
      </c>
      <c r="AC20" s="628" t="str">
        <f>IF(D20="","Either Yes or No must be selected",+AD20)</f>
        <v>Either Yes or No must be selected</v>
      </c>
      <c r="AD20" s="631">
        <f>IF(D20="Yes","","")</f>
      </c>
    </row>
    <row r="21" spans="1:11" ht="12.75">
      <c r="A21" s="704">
        <v>13</v>
      </c>
      <c r="B21" s="621" t="s">
        <v>339</v>
      </c>
      <c r="C21" s="621"/>
      <c r="D21" s="772" t="s">
        <v>349</v>
      </c>
      <c r="E21" s="772"/>
      <c r="F21" s="772"/>
      <c r="G21" s="772"/>
      <c r="H21" s="772"/>
      <c r="I21" s="629">
        <f>IF(D20="yes",(IF(D21="","AAA Name Must be Selected","")),"")</f>
      </c>
      <c r="J21" s="601"/>
      <c r="K21" s="601"/>
    </row>
    <row r="22" spans="1:11" ht="12.75">
      <c r="A22" s="704">
        <v>14</v>
      </c>
      <c r="B22" s="621" t="s">
        <v>380</v>
      </c>
      <c r="C22" s="621"/>
      <c r="D22" s="766" t="s">
        <v>461</v>
      </c>
      <c r="E22" s="766"/>
      <c r="F22" s="766"/>
      <c r="G22" s="766"/>
      <c r="H22" s="766"/>
      <c r="I22" s="629">
        <f>IF(D20="yes",(IF(D22="","AAA Contact Name Must be Entered","")),"")</f>
      </c>
      <c r="J22" s="601"/>
      <c r="K22" s="601"/>
    </row>
    <row r="23" spans="1:11" ht="12.75">
      <c r="A23" s="704">
        <v>15</v>
      </c>
      <c r="B23" s="619" t="s">
        <v>441</v>
      </c>
      <c r="D23" s="601"/>
      <c r="E23" s="641" t="s">
        <v>443</v>
      </c>
      <c r="F23" s="629">
        <f>IF(AND(D20="Yes",E23=""),"Either Contract or Vendor must be selected.","")</f>
      </c>
      <c r="G23" s="601"/>
      <c r="H23" s="601"/>
      <c r="I23" s="601"/>
      <c r="J23" s="601"/>
      <c r="K23" s="601"/>
    </row>
    <row r="24" spans="1:30" ht="12.75">
      <c r="A24" s="704">
        <v>16</v>
      </c>
      <c r="B24" s="619" t="s">
        <v>419</v>
      </c>
      <c r="D24" s="601"/>
      <c r="E24" s="601"/>
      <c r="F24" s="641"/>
      <c r="G24" s="632" t="str">
        <f>+AB24</f>
        <v>Either Yes or No must be selected</v>
      </c>
      <c r="H24" s="633"/>
      <c r="I24" s="601"/>
      <c r="J24" s="601"/>
      <c r="K24" s="601"/>
      <c r="AA24" s="630"/>
      <c r="AB24" s="620" t="str">
        <f>IF(F24="No",(IF(E26&gt;"","Either select Yes or delete DADS Region Number",+AC24)),+AC24)</f>
        <v>Either Yes or No must be selected</v>
      </c>
      <c r="AC24" s="628" t="str">
        <f>IF(F24="","Either Yes or No must be selected",+AD24)</f>
        <v>Either Yes or No must be selected</v>
      </c>
      <c r="AD24" s="631">
        <f>IF(F24="Yes","","")</f>
      </c>
    </row>
    <row r="25" spans="1:30" ht="12.75">
      <c r="A25" s="704">
        <v>17</v>
      </c>
      <c r="B25" s="634" t="s">
        <v>420</v>
      </c>
      <c r="C25" s="621"/>
      <c r="D25" s="635"/>
      <c r="E25" s="635"/>
      <c r="F25" s="767"/>
      <c r="G25" s="767"/>
      <c r="H25" s="767"/>
      <c r="I25" s="767"/>
      <c r="J25" s="767"/>
      <c r="K25" s="629">
        <f>IF(F24="yes",(IF(F25="","Community Services Contact Name Must be Entered","")),"")</f>
      </c>
      <c r="AA25" s="630"/>
      <c r="AB25" s="620"/>
      <c r="AC25" s="628"/>
      <c r="AD25" s="631"/>
    </row>
    <row r="26" spans="1:11" ht="12.75">
      <c r="A26" s="704">
        <v>18</v>
      </c>
      <c r="B26" s="619" t="s">
        <v>421</v>
      </c>
      <c r="D26" s="601"/>
      <c r="E26" s="772" t="s">
        <v>371</v>
      </c>
      <c r="F26" s="772"/>
      <c r="G26" s="629">
        <f>IF(F24="yes",(IF(E26="","DADS Region Number Must be Selected","")),"")</f>
      </c>
      <c r="H26" s="601"/>
      <c r="I26" s="601"/>
      <c r="J26" s="601"/>
      <c r="K26" s="601"/>
    </row>
    <row r="27" spans="1:11" ht="12.75">
      <c r="A27" s="704">
        <v>19</v>
      </c>
      <c r="B27" s="619" t="s">
        <v>422</v>
      </c>
      <c r="D27" s="721"/>
      <c r="E27" s="772"/>
      <c r="F27" s="772"/>
      <c r="G27" s="772"/>
      <c r="H27" s="772"/>
      <c r="I27" s="629">
        <f>IF(AND(F24="Yes",E27=""),"Contract number must be entered.","")</f>
      </c>
      <c r="J27" s="601"/>
      <c r="K27" s="601"/>
    </row>
    <row r="28" ht="12.75">
      <c r="A28" s="704"/>
    </row>
    <row r="29" spans="1:4" ht="12.75">
      <c r="A29" s="704"/>
      <c r="B29" s="151" t="s">
        <v>375</v>
      </c>
      <c r="C29" s="151"/>
      <c r="D29" s="151"/>
    </row>
    <row r="30" spans="1:4" ht="12.75">
      <c r="A30" s="704"/>
      <c r="B30" s="636" t="s">
        <v>247</v>
      </c>
      <c r="C30" s="151"/>
      <c r="D30" s="151"/>
    </row>
    <row r="31" spans="1:30" ht="12.75">
      <c r="A31" s="705">
        <v>20</v>
      </c>
      <c r="B31" s="619" t="s">
        <v>423</v>
      </c>
      <c r="I31" s="640"/>
      <c r="J31" s="637" t="str">
        <f>+AC31</f>
        <v>Either Yes or No must be selected</v>
      </c>
      <c r="AC31" s="628" t="str">
        <f>IF(I31="","Either Yes or No must be selected",+AD31)</f>
        <v>Either Yes or No must be selected</v>
      </c>
      <c r="AD31" s="631">
        <f>IF(I31="Yes","","")</f>
      </c>
    </row>
    <row r="32" spans="1:30" ht="12.75">
      <c r="A32" s="705">
        <v>21</v>
      </c>
      <c r="B32" s="634" t="s">
        <v>457</v>
      </c>
      <c r="C32" s="151"/>
      <c r="D32" s="151"/>
      <c r="I32" s="640"/>
      <c r="J32" s="629">
        <f>+AC32</f>
      </c>
      <c r="AC32" s="628">
        <f>IF(AND(I31="Yes",I32=""),"Either Yes or No must be selected",+AD32)</f>
      </c>
      <c r="AD32" s="631">
        <f>IF(I32="Yes","","")</f>
      </c>
    </row>
    <row r="33" spans="1:29" ht="12.75">
      <c r="A33" s="705">
        <v>22</v>
      </c>
      <c r="B33" s="634" t="s">
        <v>458</v>
      </c>
      <c r="C33" s="151"/>
      <c r="D33" s="151"/>
      <c r="H33" s="640"/>
      <c r="I33" s="629">
        <f>+AB33</f>
      </c>
      <c r="AB33" s="628">
        <f>IF(AND(H32="Yes",H33=""),"Either Yes or No must be selected",+AC33)</f>
      </c>
      <c r="AC33" s="631">
        <f>IF(H33="Yes","","")</f>
      </c>
    </row>
    <row r="34" spans="1:8" ht="12.75">
      <c r="A34" s="705">
        <v>23</v>
      </c>
      <c r="B34" s="619" t="s">
        <v>395</v>
      </c>
      <c r="G34" s="618"/>
      <c r="H34" s="645">
        <f>IF(AND(G34="",I31="Yes")," The number of meal routes must be entered","")</f>
      </c>
    </row>
    <row r="35" spans="1:8" ht="12.75">
      <c r="A35" s="705">
        <v>24</v>
      </c>
      <c r="B35" s="619" t="s">
        <v>396</v>
      </c>
      <c r="G35" s="618"/>
      <c r="H35" s="645">
        <f>IF(AND(G35="",I31="Yes")," The number of meal preparation sites must be entered","")</f>
      </c>
    </row>
    <row r="36" spans="1:7" ht="12.75">
      <c r="A36" s="705"/>
      <c r="B36" s="631"/>
      <c r="G36" s="8"/>
    </row>
    <row r="37" spans="1:7" ht="12.75">
      <c r="A37" s="705"/>
      <c r="B37" s="636" t="s">
        <v>248</v>
      </c>
      <c r="G37" s="8"/>
    </row>
    <row r="38" spans="1:29" ht="12.75">
      <c r="A38" s="705">
        <v>25</v>
      </c>
      <c r="B38" s="619" t="s">
        <v>400</v>
      </c>
      <c r="H38" s="640"/>
      <c r="I38" s="637" t="str">
        <f>+AB38</f>
        <v>Either Yes or No must be selected</v>
      </c>
      <c r="AB38" s="628" t="str">
        <f>IF(H38="","Either Yes or No must be selected",+AC38)</f>
        <v>Either Yes or No must be selected</v>
      </c>
      <c r="AC38" s="631">
        <f>IF(H38="Yes","","")</f>
      </c>
    </row>
    <row r="39" spans="1:29" ht="12.75">
      <c r="A39" s="705">
        <v>26</v>
      </c>
      <c r="B39" s="634" t="s">
        <v>459</v>
      </c>
      <c r="C39" s="151"/>
      <c r="D39" s="151"/>
      <c r="H39" s="640"/>
      <c r="I39" s="629">
        <f>+AB39</f>
      </c>
      <c r="AB39" s="628">
        <f>IF(AND(H38="Yes",H39=""),"Either Yes or No must be selected",+AC39)</f>
      </c>
      <c r="AC39" s="631">
        <f>IF(H39="Yes","","")</f>
      </c>
    </row>
    <row r="40" spans="1:29" ht="12.75">
      <c r="A40" s="705">
        <v>27</v>
      </c>
      <c r="B40" s="634" t="s">
        <v>460</v>
      </c>
      <c r="C40" s="151"/>
      <c r="D40" s="151"/>
      <c r="G40" s="8"/>
      <c r="H40" s="640"/>
      <c r="I40" s="629">
        <f>+AB40</f>
      </c>
      <c r="AB40" s="628">
        <f>IF(AND(H38="Yes",H40=""),"Either Yes or No must be selected",+AC40)</f>
      </c>
      <c r="AC40" s="631">
        <f>IF(H40="Yes","","")</f>
      </c>
    </row>
    <row r="41" spans="1:8" ht="12.75">
      <c r="A41" s="705">
        <v>28</v>
      </c>
      <c r="B41" s="619" t="s">
        <v>396</v>
      </c>
      <c r="G41" s="618"/>
      <c r="H41" s="645">
        <f>IF(AND(G41="",H38="Yes")," The number of meal preparation sites must be entered","")</f>
      </c>
    </row>
    <row r="42" spans="1:8" ht="12.75">
      <c r="A42" s="705">
        <v>29</v>
      </c>
      <c r="B42" s="619" t="s">
        <v>397</v>
      </c>
      <c r="G42" s="618"/>
      <c r="H42" s="645">
        <f>IF(AND(G42="",H38="Yes")," The number of meal sites must be entered","")</f>
      </c>
    </row>
    <row r="516" ht="15">
      <c r="E516" s="638"/>
    </row>
    <row r="517" spans="2:7" ht="45">
      <c r="B517" s="2" t="s">
        <v>299</v>
      </c>
      <c r="E517" s="639" t="s">
        <v>340</v>
      </c>
      <c r="G517" s="619"/>
    </row>
    <row r="518" spans="2:7" ht="30">
      <c r="B518" s="2" t="s">
        <v>300</v>
      </c>
      <c r="E518" s="639" t="s">
        <v>341</v>
      </c>
      <c r="G518" s="619" t="s">
        <v>392</v>
      </c>
    </row>
    <row r="519" spans="5:7" ht="45">
      <c r="E519" s="639" t="s">
        <v>342</v>
      </c>
      <c r="G519" s="619" t="s">
        <v>391</v>
      </c>
    </row>
    <row r="520" spans="2:7" ht="45">
      <c r="B520" s="619" t="s">
        <v>443</v>
      </c>
      <c r="E520" s="639" t="s">
        <v>343</v>
      </c>
      <c r="G520" s="619" t="s">
        <v>369</v>
      </c>
    </row>
    <row r="521" spans="2:7" ht="45">
      <c r="B521" s="619" t="s">
        <v>368</v>
      </c>
      <c r="E521" s="639" t="s">
        <v>344</v>
      </c>
      <c r="G521" s="619" t="s">
        <v>370</v>
      </c>
    </row>
    <row r="522" spans="5:7" ht="45">
      <c r="E522" s="639" t="s">
        <v>345</v>
      </c>
      <c r="G522" s="619" t="s">
        <v>371</v>
      </c>
    </row>
    <row r="523" spans="5:7" ht="45">
      <c r="E523" s="639" t="s">
        <v>346</v>
      </c>
      <c r="G523" s="619" t="s">
        <v>372</v>
      </c>
    </row>
    <row r="524" spans="5:7" ht="45">
      <c r="E524" s="639" t="s">
        <v>347</v>
      </c>
      <c r="G524" s="619" t="s">
        <v>373</v>
      </c>
    </row>
    <row r="525" spans="5:7" ht="45">
      <c r="E525" s="639" t="s">
        <v>348</v>
      </c>
      <c r="G525" s="619" t="s">
        <v>374</v>
      </c>
    </row>
    <row r="526" spans="5:7" ht="45">
      <c r="E526" s="639" t="s">
        <v>349</v>
      </c>
      <c r="G526" s="619" t="s">
        <v>393</v>
      </c>
    </row>
    <row r="527" spans="5:7" ht="30">
      <c r="E527" s="639" t="s">
        <v>350</v>
      </c>
      <c r="G527" s="631"/>
    </row>
    <row r="528" spans="5:7" ht="45">
      <c r="E528" s="639" t="s">
        <v>351</v>
      </c>
      <c r="G528" s="631"/>
    </row>
    <row r="529" spans="5:7" ht="45">
      <c r="E529" s="639" t="s">
        <v>352</v>
      </c>
      <c r="G529" s="631"/>
    </row>
    <row r="530" spans="5:7" ht="45">
      <c r="E530" s="639" t="s">
        <v>353</v>
      </c>
      <c r="G530" s="631"/>
    </row>
    <row r="531" spans="5:7" ht="45">
      <c r="E531" s="639" t="s">
        <v>354</v>
      </c>
      <c r="G531" s="631"/>
    </row>
    <row r="532" spans="5:7" ht="45">
      <c r="E532" s="639" t="s">
        <v>355</v>
      </c>
      <c r="G532" s="631"/>
    </row>
    <row r="533" spans="5:7" ht="45">
      <c r="E533" s="639" t="s">
        <v>356</v>
      </c>
      <c r="G533" s="631"/>
    </row>
    <row r="534" spans="5:7" ht="45">
      <c r="E534" s="639" t="s">
        <v>357</v>
      </c>
      <c r="G534" s="631"/>
    </row>
    <row r="535" spans="5:7" ht="45">
      <c r="E535" s="639" t="s">
        <v>358</v>
      </c>
      <c r="G535" s="631"/>
    </row>
    <row r="536" spans="5:7" ht="30">
      <c r="E536" s="639" t="s">
        <v>359</v>
      </c>
      <c r="G536" s="631"/>
    </row>
    <row r="537" spans="5:7" ht="45">
      <c r="E537" s="639" t="s">
        <v>360</v>
      </c>
      <c r="G537" s="631"/>
    </row>
    <row r="538" spans="5:7" ht="30">
      <c r="E538" s="639" t="s">
        <v>361</v>
      </c>
      <c r="G538" s="631"/>
    </row>
    <row r="539" ht="45">
      <c r="E539" s="639" t="s">
        <v>362</v>
      </c>
    </row>
    <row r="540" ht="45">
      <c r="E540" s="639" t="s">
        <v>363</v>
      </c>
    </row>
    <row r="541" ht="45">
      <c r="E541" s="639" t="s">
        <v>364</v>
      </c>
    </row>
    <row r="542" ht="45">
      <c r="E542" s="639" t="s">
        <v>365</v>
      </c>
    </row>
    <row r="543" ht="30">
      <c r="E543" s="639" t="s">
        <v>366</v>
      </c>
    </row>
    <row r="544" ht="45">
      <c r="E544" s="639" t="s">
        <v>367</v>
      </c>
    </row>
  </sheetData>
  <sheetProtection sheet="1" selectLockedCells="1"/>
  <mergeCells count="31">
    <mergeCell ref="F7:K7"/>
    <mergeCell ref="B5:K5"/>
    <mergeCell ref="B4:E4"/>
    <mergeCell ref="F4:I4"/>
    <mergeCell ref="E27:H27"/>
    <mergeCell ref="D21:H21"/>
    <mergeCell ref="E26:F26"/>
    <mergeCell ref="F18:K18"/>
    <mergeCell ref="B13:E13"/>
    <mergeCell ref="B14:E14"/>
    <mergeCell ref="F14:K14"/>
    <mergeCell ref="B9:E9"/>
    <mergeCell ref="B10:E10"/>
    <mergeCell ref="B11:E11"/>
    <mergeCell ref="F11:G11"/>
    <mergeCell ref="F12:J12"/>
    <mergeCell ref="B2:K2"/>
    <mergeCell ref="B3:K3"/>
    <mergeCell ref="B6:E6"/>
    <mergeCell ref="F6:K6"/>
    <mergeCell ref="B7:E7"/>
    <mergeCell ref="H1:I1"/>
    <mergeCell ref="J1:K1"/>
    <mergeCell ref="F13:K13"/>
    <mergeCell ref="D22:H22"/>
    <mergeCell ref="F25:J25"/>
    <mergeCell ref="F8:K8"/>
    <mergeCell ref="F9:K9"/>
    <mergeCell ref="F10:G10"/>
    <mergeCell ref="B12:E12"/>
    <mergeCell ref="B8:E8"/>
  </mergeCells>
  <dataValidations count="28">
    <dataValidation type="list" allowBlank="1" showInputMessage="1" showErrorMessage="1" prompt="Select &quot;Yes&quot; if the provider has a contract/subrecipient agreement with the AAA to provide congregate meals. &#10;&#10;Select &quot;No&quot; if the provider does not have a contract/subrecipient agreement with the AAA to provide congregate meals. &#10;" sqref="H38">
      <formula1>$B$516:$B$518</formula1>
    </dataValidation>
    <dataValidation type="list" allowBlank="1" showInputMessage="1" showErrorMessage="1" promptTitle="Home Delivered Meal Provider" prompt="Select &quot;Yes&quot; if the provider has a contract/subrecipient agreement with HHS or the AAA to provide home delivered meals. &#10;&#10;Select &quot;No&quot; if the provider does not have a contract/subrecipient agreement with HHS or the AAA to provide home delivered meals. &#10;" sqref="I31">
      <formula1>$B$516:$B$518</formula1>
    </dataValidation>
    <dataValidation type="list" allowBlank="1" showInputMessage="1" showErrorMessage="1" promptTitle="Current CM Waiver" prompt="Select &quot;Yes&quot; if the provider has an approved congregate&#10; meal waiver. &#10;" sqref="H39">
      <formula1>$B$516:$B$518</formula1>
    </dataValidation>
    <dataValidation allowBlank="1" showInputMessage="1" showErrorMessage="1" promptTitle="Business Name" prompt="Enter the legal name of the agency. Do not use initals or DBA name." sqref="F6:K6"/>
    <dataValidation allowBlank="1" showInputMessage="1" showErrorMessage="1" promptTitle="Street Address" prompt="Enter the street address of the main office or location of the agency. If the address is a different city than the mailing address include the city and zip code." sqref="F7:K7"/>
    <dataValidation allowBlank="1" showInputMessage="1" showErrorMessage="1" promptTitle="Mailing Address" prompt="Enter the mailing address for the agency. If it is the same as the street address, enter it again.&#10;" sqref="F8:K8"/>
    <dataValidation allowBlank="1" showInputMessage="1" showErrorMessage="1" promptTitle="City" prompt="Enter the city for the mailing address" sqref="F9:K9"/>
    <dataValidation allowBlank="1" showInputMessage="1" showErrorMessage="1" promptTitle="zip code" prompt="Enter the 5 didgit zip code for the mailing address" sqref="F10:G10"/>
    <dataValidation allowBlank="1" showInputMessage="1" showErrorMessage="1" promptTitle="phone number" prompt="Enter the the 10 digit phone number for the agency. Example 123-987-4561" sqref="F11:G11"/>
    <dataValidation type="list" allowBlank="1" showInputMessage="1" showErrorMessage="1" promptTitle="Prior Year Rate Setting" prompt="Select &quot;Yes&quot; if a rate setting budget was submitted to HHSC for 2018." sqref="G17">
      <formula1>$B$516:$B$518</formula1>
    </dataValidation>
    <dataValidation allowBlank="1" showInputMessage="1" showErrorMessage="1" promptTitle="Provider Name - Prior Year" prompt="Enter the provider name listed in the 2018 rate setting workbook on the “Provider Total Budget by Serv” tab." sqref="F18:K18"/>
    <dataValidation type="list" allowBlank="1" showInputMessage="1" showErrorMessage="1" promptTitle="AAA Provider" prompt="Select &quot;Yes&quot; if the provider will have a contractor or subrecipient relationship with a AAA for the proposed budget year. &#10;&#10;Select &quot;No&quot; if only Title XX meals are provided." sqref="D20">
      <formula1>$B$516:$B$518</formula1>
    </dataValidation>
    <dataValidation type="list" allowBlank="1" showInputMessage="1" showErrorMessage="1" promptTitle="AAA Name" prompt="Select the name of the AAA the provider will contract with for the proposed budget year." sqref="D21:H21">
      <formula1>$E$516:$E$544</formula1>
    </dataValidation>
    <dataValidation type="list" allowBlank="1" showInputMessage="1" showErrorMessage="1" promptTitle="Contract/Subrecipient" prompt="Select Contract or Subrecipient" sqref="E23">
      <formula1>$B$519:$B$521</formula1>
    </dataValidation>
    <dataValidation type="list" allowBlank="1" showInputMessage="1" showErrorMessage="1" promptTitle="HHS CCS Provider" prompt="Select &quot;Yes&quot; if Title  XX meals are provided. &#10;" sqref="F24">
      <formula1>$B$516:$B$518</formula1>
    </dataValidation>
    <dataValidation type="list" allowBlank="1" showInputMessage="1" showErrorMessage="1" prompt="Select the number of the HSS Contracted Community Services Region the provider will contract with for the proposed budget year." sqref="E26:F26">
      <formula1>$G$517:$G$526</formula1>
    </dataValidation>
    <dataValidation type="whole" allowBlank="1" showInputMessage="1" showErrorMessage="1" sqref="G41:G42 G34:G37">
      <formula1>1</formula1>
      <formula2>500</formula2>
    </dataValidation>
    <dataValidation allowBlank="1" showErrorMessage="1" promptTitle="Provider Name - Prior Year" prompt="Enter the provider name listed in the  2011 rate setting workbook on the “Provider Total Budget by Serv” worksheet in cell C3." sqref="L18"/>
    <dataValidation allowBlank="1" showInputMessage="1" showErrorMessage="1" promptTitle="Contract Number" prompt="Enter The contract number listed on the HHS contract&#10;" sqref="E27:H27"/>
    <dataValidation allowBlank="1" showInputMessage="1" showErrorMessage="1" promptTitle="e-mail" prompt="Enter an e-mail address that may be used to contact the provider.&#10;" sqref="F12:J12"/>
    <dataValidation allowBlank="1" showInputMessage="1" showErrorMessage="1" promptTitle="Contact Name" prompt="Enter the name of the person at the provider agency who should be contacted regarding any question on rate setting.&#10;" sqref="F13:K13"/>
    <dataValidation allowBlank="1" showInputMessage="1" showErrorMessage="1" promptTitle="AAA Contact Name" prompt="Enter the name of the person at the AAA who completed the rate setting and should be contacted regarding any question.&#10;" sqref="D25:E25"/>
    <dataValidation allowBlank="1" showInputMessage="1" showErrorMessage="1" promptTitle="HHS Contact Name" prompt="Enter the name of the Contract Manageer with HHS Contracted Community Services who should be contacted regarding questions.&#10;" sqref="F25:J25"/>
    <dataValidation type="list" allowBlank="1" showInputMessage="1" showErrorMessage="1" promptTitle="Request for CM Waiver" prompt="Select &quot;Yes&quot; if the provider is requesting a congregate meal waiver. &#10;" sqref="H40">
      <formula1>$B$516:$B$518</formula1>
    </dataValidation>
    <dataValidation type="list" allowBlank="1" showInputMessage="1" showErrorMessage="1" promptTitle="Request for HDM Waiver" prompt="Select &quot;Yes&quot; if the provider is requesting a home delivered meal waiver. &#10;" sqref="H33">
      <formula1>$B$516:$B$518</formula1>
    </dataValidation>
    <dataValidation type="list" allowBlank="1" showInputMessage="1" showErrorMessage="1" promptTitle="Current HDM Waiver" prompt="Select &quot;Yes&quot; if the provider has an approved home delivered  meal waiver. &#10;" sqref="I32">
      <formula1>$B$516:$B$518</formula1>
    </dataValidation>
    <dataValidation allowBlank="1" showInputMessage="1" showErrorMessage="1" promptTitle="Web Address" prompt="If the provider has a website or a webpage enter the web address. Example: https://hhs.texas.gov/.&#10;" sqref="F14:K14"/>
    <dataValidation allowBlank="1" showInputMessage="1" showErrorMessage="1" promptTitle="AAA Contact Name" prompt="Enter the name of the person at the AAA who should be contacted regarding questions.&#10;" sqref="D22:H22"/>
  </dataValidations>
  <printOptions/>
  <pageMargins left="0.25" right="0.25" top="0.75" bottom="0.75" header="0.3" footer="0.3"/>
  <pageSetup fitToHeight="1" fitToWidth="1" horizontalDpi="600" verticalDpi="600" orientation="portrait" paperSize="5" scale="74" r:id="rId1"/>
</worksheet>
</file>

<file path=xl/worksheets/sheet10.xml><?xml version="1.0" encoding="utf-8"?>
<worksheet xmlns="http://schemas.openxmlformats.org/spreadsheetml/2006/main" xmlns:r="http://schemas.openxmlformats.org/officeDocument/2006/relationships">
  <sheetPr codeName="Sheet9">
    <tabColor rgb="FF00B050"/>
    <pageSetUpPr fitToPage="1"/>
  </sheetPr>
  <dimension ref="B1:K110"/>
  <sheetViews>
    <sheetView showGridLines="0" zoomScale="80" zoomScaleNormal="80" zoomScalePageLayoutView="0" workbookViewId="0" topLeftCell="A1">
      <selection activeCell="B10" sqref="B10:K10"/>
    </sheetView>
  </sheetViews>
  <sheetFormatPr defaultColWidth="9.140625" defaultRowHeight="12.75"/>
  <cols>
    <col min="1" max="1" width="9.140625" style="2" customWidth="1"/>
    <col min="2" max="2" width="2.57421875" style="2" customWidth="1"/>
    <col min="3" max="3" width="19.8515625" style="2" customWidth="1"/>
    <col min="4" max="4" width="10.57421875" style="2" customWidth="1"/>
    <col min="5" max="5" width="14.421875" style="2" customWidth="1"/>
    <col min="6" max="6" width="13.7109375" style="2" customWidth="1"/>
    <col min="7" max="7" width="16.00390625" style="2" customWidth="1"/>
    <col min="8" max="8" width="16.7109375" style="2" customWidth="1"/>
    <col min="9" max="9" width="9.8515625" style="2" customWidth="1"/>
    <col min="10" max="10" width="3.421875" style="2" customWidth="1"/>
    <col min="11" max="11" width="14.8515625" style="2" customWidth="1"/>
    <col min="12" max="16384" width="9.140625" style="2" customWidth="1"/>
  </cols>
  <sheetData>
    <row r="1" ht="12.75">
      <c r="C1" s="685">
        <f ca="1">NOW()</f>
        <v>44650.39911342593</v>
      </c>
    </row>
    <row r="2" spans="3:9" ht="12.75">
      <c r="C2" s="367" t="s">
        <v>26</v>
      </c>
      <c r="D2" s="816">
        <f>+'Provider Information'!F6</f>
        <v>0</v>
      </c>
      <c r="E2" s="817"/>
      <c r="F2" s="817"/>
      <c r="G2" s="817"/>
      <c r="H2" s="817"/>
      <c r="I2" s="13"/>
    </row>
    <row r="3" spans="2:11" ht="12.75">
      <c r="B3" s="76"/>
      <c r="C3" s="644" t="s">
        <v>389</v>
      </c>
      <c r="D3" s="816" t="str">
        <f>+'Provider Information'!D21</f>
        <v>Area Agency on Aging of Deep East Texas</v>
      </c>
      <c r="E3" s="816"/>
      <c r="F3" s="816"/>
      <c r="G3" s="816"/>
      <c r="H3" s="816"/>
      <c r="I3" s="816"/>
      <c r="J3" s="960"/>
      <c r="K3" s="960"/>
    </row>
    <row r="4" spans="2:11" ht="15.75">
      <c r="B4" s="1033" t="s">
        <v>248</v>
      </c>
      <c r="C4" s="1033"/>
      <c r="D4" s="1033"/>
      <c r="E4" s="1033"/>
      <c r="F4" s="1033"/>
      <c r="G4" s="1033"/>
      <c r="H4" s="1033"/>
      <c r="I4" s="1033"/>
      <c r="J4" s="1033"/>
      <c r="K4" s="1033"/>
    </row>
    <row r="5" spans="2:11" ht="15.75">
      <c r="B5" s="1033" t="s">
        <v>74</v>
      </c>
      <c r="C5" s="1033"/>
      <c r="D5" s="1033"/>
      <c r="E5" s="1033"/>
      <c r="F5" s="1033"/>
      <c r="G5" s="1033"/>
      <c r="H5" s="1033"/>
      <c r="I5" s="1033"/>
      <c r="J5" s="1033"/>
      <c r="K5" s="1033"/>
    </row>
    <row r="6" spans="2:11" ht="12.75">
      <c r="B6" s="775"/>
      <c r="C6" s="775"/>
      <c r="D6" s="775"/>
      <c r="E6" s="775"/>
      <c r="F6" s="775"/>
      <c r="G6" s="775"/>
      <c r="H6" s="775"/>
      <c r="I6" s="775"/>
      <c r="J6" s="775"/>
      <c r="K6" s="775"/>
    </row>
    <row r="7" spans="2:11" ht="12.75">
      <c r="B7" s="942" t="s">
        <v>111</v>
      </c>
      <c r="C7" s="942"/>
      <c r="D7" s="942"/>
      <c r="E7" s="942"/>
      <c r="F7" s="942"/>
      <c r="G7" s="942"/>
      <c r="H7" s="942"/>
      <c r="I7" s="942"/>
      <c r="J7" s="5" t="s">
        <v>0</v>
      </c>
      <c r="K7" s="6" t="e">
        <f>+'Congregate Meal Budget'!I80</f>
        <v>#DIV/0!</v>
      </c>
    </row>
    <row r="8" spans="2:11" ht="12.75">
      <c r="B8" s="775"/>
      <c r="C8" s="775"/>
      <c r="D8" s="775"/>
      <c r="E8" s="775"/>
      <c r="F8" s="775"/>
      <c r="G8" s="775"/>
      <c r="H8" s="775"/>
      <c r="I8" s="775"/>
      <c r="J8" s="775"/>
      <c r="K8" s="775"/>
    </row>
    <row r="9" spans="2:11" ht="12.75">
      <c r="B9" s="942" t="s">
        <v>307</v>
      </c>
      <c r="C9" s="942"/>
      <c r="D9" s="942"/>
      <c r="E9" s="942"/>
      <c r="F9" s="942"/>
      <c r="G9" s="942"/>
      <c r="H9" s="942"/>
      <c r="I9" s="942"/>
      <c r="J9" s="942"/>
      <c r="K9" s="942"/>
    </row>
    <row r="10" spans="2:11" ht="12.75">
      <c r="B10" s="775"/>
      <c r="C10" s="775"/>
      <c r="D10" s="775"/>
      <c r="E10" s="775"/>
      <c r="F10" s="775"/>
      <c r="G10" s="775"/>
      <c r="H10" s="775"/>
      <c r="I10" s="775"/>
      <c r="J10" s="775"/>
      <c r="K10" s="775"/>
    </row>
    <row r="11" spans="2:11" ht="25.5">
      <c r="B11" s="958" t="s">
        <v>434</v>
      </c>
      <c r="C11" s="955"/>
      <c r="D11" s="139">
        <f>+'Congregate Meal Budget'!G93</f>
        <v>0</v>
      </c>
      <c r="E11" s="141" t="s">
        <v>406</v>
      </c>
      <c r="F11" s="139">
        <f>+'Congregate Meal Budget'!G95</f>
        <v>0</v>
      </c>
      <c r="G11" s="140" t="str">
        <f>+'Congregate Meal Budget'!B98</f>
        <v>Other Sources 5</v>
      </c>
      <c r="H11" s="139">
        <f>+'Congregate Meal Budget'!G98</f>
        <v>0</v>
      </c>
      <c r="I11" s="954"/>
      <c r="J11" s="954"/>
      <c r="K11" s="954"/>
    </row>
    <row r="12" spans="2:11" ht="12.75">
      <c r="B12" s="954"/>
      <c r="C12" s="954"/>
      <c r="D12" s="954"/>
      <c r="E12" s="954"/>
      <c r="F12" s="954"/>
      <c r="G12" s="954"/>
      <c r="H12" s="954"/>
      <c r="I12" s="954"/>
      <c r="J12" s="954"/>
      <c r="K12" s="954"/>
    </row>
    <row r="13" spans="2:11" ht="38.25">
      <c r="B13" s="955" t="s">
        <v>38</v>
      </c>
      <c r="C13" s="955"/>
      <c r="D13" s="139">
        <f>+'Congregate Meal Budget'!G94</f>
        <v>0</v>
      </c>
      <c r="E13" s="141" t="s">
        <v>107</v>
      </c>
      <c r="F13" s="139">
        <f>+'Congregate Meal Budget'!G96</f>
        <v>0</v>
      </c>
      <c r="G13" s="140" t="str">
        <f>+'Congregate Meal Budget'!B99</f>
        <v>Other Sources 6</v>
      </c>
      <c r="H13" s="139">
        <f>+'Congregate Meal Budget'!G99</f>
        <v>0</v>
      </c>
      <c r="I13" s="15"/>
      <c r="J13" s="46" t="s">
        <v>2</v>
      </c>
      <c r="K13" s="9">
        <f>IF('Congregate Meal Budget'!G100&gt;0,+D11+F11+H11+D13+F13+H13,0)</f>
        <v>0</v>
      </c>
    </row>
    <row r="14" spans="2:11" ht="6" customHeight="1">
      <c r="B14" s="775"/>
      <c r="C14" s="775"/>
      <c r="D14" s="775"/>
      <c r="E14" s="775"/>
      <c r="F14" s="775"/>
      <c r="G14" s="775"/>
      <c r="H14" s="775"/>
      <c r="I14" s="775"/>
      <c r="J14" s="775"/>
      <c r="K14" s="775"/>
    </row>
    <row r="15" spans="2:11" ht="12.75">
      <c r="B15" s="957"/>
      <c r="C15" s="957"/>
      <c r="D15" s="957"/>
      <c r="E15" s="957"/>
      <c r="F15" s="957"/>
      <c r="G15" s="957"/>
      <c r="H15" s="957"/>
      <c r="I15" s="957"/>
      <c r="J15" s="957"/>
      <c r="K15" s="957"/>
    </row>
    <row r="16" spans="2:11" ht="6.75" customHeight="1">
      <c r="B16" s="775"/>
      <c r="C16" s="775"/>
      <c r="D16" s="775"/>
      <c r="E16" s="775"/>
      <c r="F16" s="775"/>
      <c r="G16" s="775"/>
      <c r="H16" s="775"/>
      <c r="I16" s="775"/>
      <c r="J16" s="775"/>
      <c r="K16" s="775"/>
    </row>
    <row r="17" spans="2:11" ht="12.75">
      <c r="B17" s="942" t="s">
        <v>410</v>
      </c>
      <c r="C17" s="942"/>
      <c r="D17" s="942"/>
      <c r="E17" s="942"/>
      <c r="F17" s="942"/>
      <c r="G17" s="942"/>
      <c r="H17" s="942"/>
      <c r="I17" s="942"/>
      <c r="J17" s="5" t="s">
        <v>3</v>
      </c>
      <c r="K17" s="45">
        <f>ROUND(IF(K13=0,0,+K7/K13),2)</f>
        <v>0</v>
      </c>
    </row>
    <row r="18" spans="2:11" ht="12.75">
      <c r="B18" s="775"/>
      <c r="C18" s="775"/>
      <c r="D18" s="775"/>
      <c r="E18" s="775"/>
      <c r="F18" s="775"/>
      <c r="G18" s="775"/>
      <c r="H18" s="775"/>
      <c r="I18" s="775"/>
      <c r="J18" s="775"/>
      <c r="K18" s="775"/>
    </row>
    <row r="19" spans="2:11" ht="12.75">
      <c r="B19" s="953" t="s">
        <v>31</v>
      </c>
      <c r="C19" s="953"/>
      <c r="D19" s="953"/>
      <c r="E19" s="953"/>
      <c r="F19" s="953"/>
      <c r="G19" s="953"/>
      <c r="H19" s="953"/>
      <c r="I19" s="953"/>
      <c r="J19" s="953"/>
      <c r="K19" s="953"/>
    </row>
    <row r="20" spans="2:11" ht="12.75">
      <c r="B20" s="3"/>
      <c r="C20" s="3"/>
      <c r="D20" s="3"/>
      <c r="E20" s="3"/>
      <c r="F20" s="138" t="s">
        <v>434</v>
      </c>
      <c r="G20" s="78"/>
      <c r="H20" s="81"/>
      <c r="I20" s="76"/>
      <c r="J20" s="76"/>
      <c r="K20" s="76"/>
    </row>
    <row r="21" spans="2:11" ht="12.75">
      <c r="B21" s="942" t="s">
        <v>112</v>
      </c>
      <c r="C21" s="942"/>
      <c r="D21" s="942"/>
      <c r="E21" s="942"/>
      <c r="F21" s="761">
        <v>0.73</v>
      </c>
      <c r="H21" s="12"/>
      <c r="I21" s="775"/>
      <c r="J21" s="775"/>
      <c r="K21" s="775"/>
    </row>
    <row r="22" spans="2:11" ht="12.75">
      <c r="B22" s="775"/>
      <c r="C22" s="775"/>
      <c r="D22" s="775"/>
      <c r="E22" s="775"/>
      <c r="F22" s="775"/>
      <c r="G22" s="775"/>
      <c r="H22" s="775"/>
      <c r="I22" s="775"/>
      <c r="J22" s="775"/>
      <c r="K22" s="775"/>
    </row>
    <row r="23" spans="2:11" ht="12.75">
      <c r="B23" s="942" t="s">
        <v>113</v>
      </c>
      <c r="C23" s="942"/>
      <c r="D23" s="942"/>
      <c r="E23" s="942"/>
      <c r="F23" s="6">
        <f>ROUND(IF(K17=0,0,+K17-F21),2)</f>
        <v>0</v>
      </c>
      <c r="H23" s="137"/>
      <c r="I23" s="775"/>
      <c r="J23" s="775"/>
      <c r="K23" s="775"/>
    </row>
    <row r="24" spans="2:11" ht="12.75">
      <c r="B24" s="76"/>
      <c r="C24" s="76"/>
      <c r="D24" s="76"/>
      <c r="E24" s="76"/>
      <c r="F24" s="76"/>
      <c r="G24" s="76"/>
      <c r="H24" s="76"/>
      <c r="I24" s="76"/>
      <c r="J24" s="76"/>
      <c r="K24" s="76"/>
    </row>
    <row r="25" spans="2:8" ht="12.75">
      <c r="B25" s="4" t="s">
        <v>114</v>
      </c>
      <c r="C25" s="4"/>
      <c r="D25" s="4"/>
      <c r="E25" s="6">
        <f>ROUND(IF(F23="","",+F23*0.1),2)</f>
        <v>0</v>
      </c>
      <c r="H25" s="12"/>
    </row>
    <row r="26" spans="2:8" ht="50.25" customHeight="1">
      <c r="B26" s="952" t="s">
        <v>115</v>
      </c>
      <c r="C26" s="952"/>
      <c r="D26" s="952"/>
      <c r="E26" s="6">
        <f>-I103</f>
        <v>0</v>
      </c>
      <c r="F26" s="8"/>
      <c r="H26" s="12"/>
    </row>
    <row r="27" spans="2:11" ht="28.5" customHeight="1">
      <c r="B27" s="927" t="s">
        <v>408</v>
      </c>
      <c r="C27" s="927"/>
      <c r="D27" s="927"/>
      <c r="E27" s="927"/>
      <c r="F27" s="6">
        <f>IF(+E25="",0,+E25+E26)</f>
        <v>0</v>
      </c>
      <c r="G27" s="3"/>
      <c r="H27" s="137"/>
      <c r="I27" s="3"/>
      <c r="J27" s="3"/>
      <c r="K27" s="3"/>
    </row>
    <row r="28" spans="2:11" ht="28.5" customHeight="1">
      <c r="B28" s="942" t="s">
        <v>116</v>
      </c>
      <c r="C28" s="942"/>
      <c r="D28" s="942"/>
      <c r="E28" s="942"/>
      <c r="F28" s="6">
        <f>ROUND(IF(K17&gt;0,K17-F27,0),2)</f>
        <v>0</v>
      </c>
      <c r="H28" s="136"/>
      <c r="I28" s="775"/>
      <c r="J28" s="775"/>
      <c r="K28" s="775"/>
    </row>
    <row r="30" ht="13.5" customHeight="1">
      <c r="B30" s="2" t="s">
        <v>117</v>
      </c>
    </row>
    <row r="31" ht="21.75" customHeight="1">
      <c r="C31" s="2" t="s">
        <v>267</v>
      </c>
    </row>
    <row r="32" ht="12.75">
      <c r="C32" s="2" t="s">
        <v>266</v>
      </c>
    </row>
    <row r="33" ht="12.75">
      <c r="C33" s="2" t="s">
        <v>5</v>
      </c>
    </row>
    <row r="34" spans="3:9" ht="42.75" customHeight="1">
      <c r="C34" s="1040">
        <f>+'Congregate Meal Budget'!C2</f>
        <v>0</v>
      </c>
      <c r="D34" s="1041"/>
      <c r="E34" s="1041"/>
      <c r="G34" s="1037"/>
      <c r="H34" s="939"/>
      <c r="I34" s="939"/>
    </row>
    <row r="35" spans="3:9" ht="12.75">
      <c r="C35" s="934" t="s">
        <v>33</v>
      </c>
      <c r="D35" s="934"/>
      <c r="E35" s="934"/>
      <c r="G35" s="934" t="s">
        <v>34</v>
      </c>
      <c r="H35" s="934"/>
      <c r="I35" s="934"/>
    </row>
    <row r="38" spans="3:9" ht="12.75">
      <c r="C38" s="1037"/>
      <c r="D38" s="939"/>
      <c r="E38" s="939"/>
      <c r="G38" s="1036"/>
      <c r="H38" s="936"/>
      <c r="I38" s="936"/>
    </row>
    <row r="39" spans="3:9" ht="12.75">
      <c r="C39" s="934" t="s">
        <v>35</v>
      </c>
      <c r="D39" s="934"/>
      <c r="E39" s="934"/>
      <c r="G39" s="934" t="s">
        <v>36</v>
      </c>
      <c r="H39" s="934"/>
      <c r="I39" s="934"/>
    </row>
    <row r="42" spans="3:9" ht="12.75">
      <c r="C42" s="1038" t="str">
        <f>+'Congregate Meal Budget'!C3:G3</f>
        <v>Area Agency on Aging of Deep East Texas</v>
      </c>
      <c r="D42" s="1038"/>
      <c r="E42" s="1038"/>
      <c r="G42" s="1034"/>
      <c r="H42" s="1034"/>
      <c r="I42" s="1034"/>
    </row>
    <row r="43" spans="3:9" ht="12.75">
      <c r="C43" s="940" t="s">
        <v>37</v>
      </c>
      <c r="D43" s="940"/>
      <c r="E43" s="940"/>
      <c r="G43" s="1039"/>
      <c r="H43" s="1039"/>
      <c r="I43" s="1039"/>
    </row>
    <row r="45" spans="3:9" ht="15.75" customHeight="1">
      <c r="C45" s="1037" t="str">
        <f>'Provider Information'!$D$22</f>
        <v>Tyson Silas</v>
      </c>
      <c r="D45" s="939"/>
      <c r="E45" s="939"/>
      <c r="G45" s="1034"/>
      <c r="H45" s="1034"/>
      <c r="I45" s="1034"/>
    </row>
    <row r="46" spans="3:9" ht="12.75">
      <c r="C46" s="934" t="s">
        <v>34</v>
      </c>
      <c r="D46" s="934"/>
      <c r="E46" s="934"/>
      <c r="G46" s="1034"/>
      <c r="H46" s="1034"/>
      <c r="I46" s="1034"/>
    </row>
    <row r="49" spans="3:9" ht="12.75">
      <c r="C49" s="1037"/>
      <c r="D49" s="939"/>
      <c r="E49" s="939"/>
      <c r="G49" s="8"/>
      <c r="H49" s="8"/>
      <c r="I49" s="8"/>
    </row>
    <row r="50" spans="3:9" ht="12.75">
      <c r="C50" s="934" t="s">
        <v>35</v>
      </c>
      <c r="D50" s="934"/>
      <c r="E50" s="934"/>
      <c r="G50" s="1034"/>
      <c r="H50" s="1034"/>
      <c r="I50" s="1034"/>
    </row>
    <row r="53" spans="3:9" ht="12.75">
      <c r="C53" s="1036"/>
      <c r="D53" s="936"/>
      <c r="E53" s="936"/>
      <c r="G53" s="1035"/>
      <c r="H53" s="1035"/>
      <c r="I53" s="1035"/>
    </row>
    <row r="54" spans="3:9" ht="12.75">
      <c r="C54" s="934" t="s">
        <v>36</v>
      </c>
      <c r="D54" s="934"/>
      <c r="E54" s="934"/>
      <c r="G54" s="1034"/>
      <c r="H54" s="1034"/>
      <c r="I54" s="1034"/>
    </row>
    <row r="94" spans="3:9" ht="12.75">
      <c r="C94" s="943" t="s">
        <v>58</v>
      </c>
      <c r="D94" s="943"/>
      <c r="E94" s="943"/>
      <c r="F94" s="943"/>
      <c r="G94" s="943"/>
      <c r="H94" s="943"/>
      <c r="I94" s="943"/>
    </row>
    <row r="95" spans="3:9" ht="12.75">
      <c r="C95" s="2" t="s">
        <v>59</v>
      </c>
      <c r="I95" s="13">
        <f>+E25</f>
        <v>0</v>
      </c>
    </row>
    <row r="96" spans="3:9" ht="12.75">
      <c r="C96" s="2" t="s">
        <v>73</v>
      </c>
      <c r="I96" s="9">
        <f>IF(D11+F11=0,K13,+D11+F11)</f>
        <v>0</v>
      </c>
    </row>
    <row r="97" spans="3:9" ht="12.75">
      <c r="C97" s="2" t="s">
        <v>60</v>
      </c>
      <c r="D97" s="3"/>
      <c r="I97" s="14">
        <f>+I95*I96</f>
        <v>0</v>
      </c>
    </row>
    <row r="98" spans="3:9" ht="12.75">
      <c r="C98" s="2" t="s">
        <v>61</v>
      </c>
      <c r="I98" s="9">
        <f>+'In-Kind Certification CM'!G25</f>
        <v>0</v>
      </c>
    </row>
    <row r="99" spans="3:9" ht="12.75">
      <c r="C99" s="2" t="s">
        <v>62</v>
      </c>
      <c r="I99" s="15">
        <f>+I97-I98</f>
        <v>0</v>
      </c>
    </row>
    <row r="100" spans="3:9" ht="12.75">
      <c r="C100" s="2" t="s">
        <v>78</v>
      </c>
      <c r="I100" s="9">
        <f>IF(+D11+F11=0,K13,+D11+F11)</f>
        <v>0</v>
      </c>
    </row>
    <row r="101" spans="3:11" ht="12.75">
      <c r="C101" s="2" t="s">
        <v>64</v>
      </c>
      <c r="I101" s="16">
        <f>IF(I99=0,0,+I99/I100)</f>
        <v>0</v>
      </c>
      <c r="J101" s="3"/>
      <c r="K101" s="3"/>
    </row>
    <row r="102" spans="3:9" ht="12.75">
      <c r="C102" s="2" t="s">
        <v>63</v>
      </c>
      <c r="I102" s="17">
        <f>+E25</f>
        <v>0</v>
      </c>
    </row>
    <row r="103" spans="3:9" ht="12.75">
      <c r="C103" s="2" t="s">
        <v>65</v>
      </c>
      <c r="I103" s="18">
        <f>IF(+I101&lt;=0,+I102,+I102-I101)</f>
        <v>0</v>
      </c>
    </row>
    <row r="104" ht="12.75">
      <c r="I104" s="14"/>
    </row>
    <row r="105" ht="12.75">
      <c r="I105" s="15"/>
    </row>
    <row r="106" ht="12.75">
      <c r="I106" s="15"/>
    </row>
    <row r="107" ht="12.75">
      <c r="I107" s="15"/>
    </row>
    <row r="108" ht="12.75">
      <c r="I108" s="15"/>
    </row>
    <row r="109" ht="12.75">
      <c r="I109" s="15"/>
    </row>
    <row r="110" ht="12.75">
      <c r="I110" s="15"/>
    </row>
  </sheetData>
  <sheetProtection sheet="1" formatCells="0"/>
  <mergeCells count="53">
    <mergeCell ref="B26:D26"/>
    <mergeCell ref="C35:E35"/>
    <mergeCell ref="B28:E28"/>
    <mergeCell ref="C34:E34"/>
    <mergeCell ref="G34:I34"/>
    <mergeCell ref="G38:I38"/>
    <mergeCell ref="G35:I35"/>
    <mergeCell ref="C38:E38"/>
    <mergeCell ref="D3:I3"/>
    <mergeCell ref="I21:K21"/>
    <mergeCell ref="C39:E39"/>
    <mergeCell ref="I28:K28"/>
    <mergeCell ref="B21:E21"/>
    <mergeCell ref="B22:K22"/>
    <mergeCell ref="B23:E23"/>
    <mergeCell ref="I23:K23"/>
    <mergeCell ref="B27:E27"/>
    <mergeCell ref="G39:I39"/>
    <mergeCell ref="C46:E46"/>
    <mergeCell ref="G46:I46"/>
    <mergeCell ref="C53:E53"/>
    <mergeCell ref="C49:E49"/>
    <mergeCell ref="G45:I45"/>
    <mergeCell ref="C45:E45"/>
    <mergeCell ref="C42:E42"/>
    <mergeCell ref="G43:I43"/>
    <mergeCell ref="B16:K16"/>
    <mergeCell ref="B17:I17"/>
    <mergeCell ref="C94:I94"/>
    <mergeCell ref="C50:E50"/>
    <mergeCell ref="G50:I50"/>
    <mergeCell ref="C54:E54"/>
    <mergeCell ref="G54:I54"/>
    <mergeCell ref="G53:I53"/>
    <mergeCell ref="G42:I42"/>
    <mergeCell ref="C43:E43"/>
    <mergeCell ref="B5:K5"/>
    <mergeCell ref="B12:K12"/>
    <mergeCell ref="B14:K14"/>
    <mergeCell ref="B15:K15"/>
    <mergeCell ref="B13:C13"/>
    <mergeCell ref="B11:C11"/>
    <mergeCell ref="I11:K11"/>
    <mergeCell ref="D2:H2"/>
    <mergeCell ref="J3:K3"/>
    <mergeCell ref="B18:K18"/>
    <mergeCell ref="B19:K19"/>
    <mergeCell ref="B8:K8"/>
    <mergeCell ref="B9:K9"/>
    <mergeCell ref="B10:K10"/>
    <mergeCell ref="B4:K4"/>
    <mergeCell ref="B6:K6"/>
    <mergeCell ref="B7:I7"/>
  </mergeCells>
  <printOptions/>
  <pageMargins left="0.75" right="0.75" top="0.75" bottom="0.75" header="0.3" footer="0.3"/>
  <pageSetup fitToHeight="1" fitToWidth="1" horizontalDpi="600" verticalDpi="600" orientation="portrait" paperSize="5" scale="74" r:id="rId1"/>
</worksheet>
</file>

<file path=xl/worksheets/sheet11.xml><?xml version="1.0" encoding="utf-8"?>
<worksheet xmlns="http://schemas.openxmlformats.org/spreadsheetml/2006/main" xmlns:r="http://schemas.openxmlformats.org/officeDocument/2006/relationships">
  <sheetPr codeName="Sheet10">
    <tabColor rgb="FF00B050"/>
    <pageSetUpPr fitToPage="1"/>
  </sheetPr>
  <dimension ref="B1:W45"/>
  <sheetViews>
    <sheetView showGridLines="0" zoomScalePageLayoutView="0" workbookViewId="0" topLeftCell="A1">
      <selection activeCell="G33" sqref="G33:J33"/>
    </sheetView>
  </sheetViews>
  <sheetFormatPr defaultColWidth="9.140625" defaultRowHeight="12.75"/>
  <cols>
    <col min="3" max="3" width="17.421875" style="0" customWidth="1"/>
    <col min="4" max="4" width="4.57421875" style="0" customWidth="1"/>
    <col min="5" max="5" width="19.421875" style="0" customWidth="1"/>
    <col min="6" max="6" width="6.00390625" style="0" customWidth="1"/>
    <col min="7" max="7" width="5.8515625" style="0" customWidth="1"/>
    <col min="8" max="8" width="13.421875" style="0" customWidth="1"/>
    <col min="13" max="13" width="11.8515625" style="0" customWidth="1"/>
  </cols>
  <sheetData>
    <row r="1" ht="12.75">
      <c r="C1" s="686">
        <f ca="1">NOW()</f>
        <v>44650.39911342593</v>
      </c>
    </row>
    <row r="2" spans="2:9" s="2" customFormat="1" ht="15">
      <c r="B2" s="647"/>
      <c r="C2" s="367" t="s">
        <v>26</v>
      </c>
      <c r="D2" s="816">
        <f>+'Provider Information'!F6</f>
        <v>0</v>
      </c>
      <c r="E2" s="817"/>
      <c r="F2" s="817"/>
      <c r="G2" s="817"/>
      <c r="H2" s="817"/>
      <c r="I2" s="13"/>
    </row>
    <row r="3" spans="2:9" s="2" customFormat="1" ht="15">
      <c r="B3" s="642"/>
      <c r="C3" s="644" t="s">
        <v>389</v>
      </c>
      <c r="D3" s="816" t="str">
        <f>+'Provider Information'!D21</f>
        <v>Area Agency on Aging of Deep East Texas</v>
      </c>
      <c r="E3" s="816"/>
      <c r="F3" s="816"/>
      <c r="G3" s="816"/>
      <c r="H3" s="816"/>
      <c r="I3" s="816"/>
    </row>
    <row r="4" spans="2:11" ht="18.75">
      <c r="B4" s="1044" t="s">
        <v>248</v>
      </c>
      <c r="C4" s="1044"/>
      <c r="D4" s="1044"/>
      <c r="E4" s="1044"/>
      <c r="F4" s="1044"/>
      <c r="G4" s="1044"/>
      <c r="H4" s="1044"/>
      <c r="I4" s="1044"/>
      <c r="J4" s="1044"/>
      <c r="K4" s="1044"/>
    </row>
    <row r="5" spans="2:23" ht="18.75" customHeight="1">
      <c r="B5" s="1046" t="s">
        <v>79</v>
      </c>
      <c r="C5" s="1046"/>
      <c r="D5" s="1046"/>
      <c r="E5" s="1046"/>
      <c r="F5" s="1046"/>
      <c r="G5" s="1046"/>
      <c r="H5" s="1046"/>
      <c r="I5" s="1046"/>
      <c r="J5" s="1046"/>
      <c r="K5" s="1046"/>
      <c r="L5" s="1"/>
      <c r="M5" s="1"/>
      <c r="N5" s="1"/>
      <c r="O5" s="1"/>
      <c r="P5" s="1"/>
      <c r="Q5" s="1"/>
      <c r="R5" s="1"/>
      <c r="S5" s="1"/>
      <c r="T5" s="1"/>
      <c r="U5" s="1"/>
      <c r="V5" s="1"/>
      <c r="W5" s="1"/>
    </row>
    <row r="6" spans="2:23" ht="18.75">
      <c r="B6" s="929"/>
      <c r="C6" s="929"/>
      <c r="D6" s="929"/>
      <c r="E6" s="929"/>
      <c r="F6" s="142"/>
      <c r="G6" s="930"/>
      <c r="H6" s="931"/>
      <c r="I6" s="931"/>
      <c r="J6" s="931"/>
      <c r="K6" s="931"/>
      <c r="L6" s="1"/>
      <c r="M6" s="1"/>
      <c r="N6" s="1"/>
      <c r="O6" s="1"/>
      <c r="P6" s="1"/>
      <c r="Q6" s="1"/>
      <c r="R6" s="1"/>
      <c r="S6" s="1"/>
      <c r="T6" s="1"/>
      <c r="U6" s="1"/>
      <c r="V6" s="1"/>
      <c r="W6" s="1"/>
    </row>
    <row r="7" spans="2:23" ht="15.75">
      <c r="B7" s="55" t="s">
        <v>80</v>
      </c>
      <c r="C7" s="56"/>
      <c r="D7" s="56"/>
      <c r="E7" s="56"/>
      <c r="F7" s="56"/>
      <c r="G7" s="56"/>
      <c r="H7" s="56"/>
      <c r="I7" s="57"/>
      <c r="J7" s="58"/>
      <c r="K7" s="59"/>
      <c r="L7" s="1"/>
      <c r="M7" s="1"/>
      <c r="N7" s="1"/>
      <c r="O7" s="1"/>
      <c r="P7" s="1"/>
      <c r="Q7" s="1"/>
      <c r="R7" s="1"/>
      <c r="S7" s="1"/>
      <c r="T7" s="1"/>
      <c r="U7" s="1"/>
      <c r="V7" s="1"/>
      <c r="W7" s="1"/>
    </row>
    <row r="8" spans="2:23" ht="15.75">
      <c r="B8" s="60"/>
      <c r="C8" s="8"/>
      <c r="D8" s="8"/>
      <c r="E8" s="8"/>
      <c r="F8" s="8"/>
      <c r="G8" s="8"/>
      <c r="H8" s="8"/>
      <c r="I8" s="8"/>
      <c r="J8" s="8"/>
      <c r="K8" s="61"/>
      <c r="L8" s="1"/>
      <c r="M8" s="1"/>
      <c r="N8" s="1"/>
      <c r="O8" s="1"/>
      <c r="P8" s="1"/>
      <c r="Q8" s="1"/>
      <c r="R8" s="1"/>
      <c r="S8" s="1"/>
      <c r="T8" s="1"/>
      <c r="U8" s="1"/>
      <c r="V8" s="1"/>
      <c r="W8" s="1"/>
    </row>
    <row r="9" spans="2:23" ht="16.5">
      <c r="B9" s="62" t="s">
        <v>81</v>
      </c>
      <c r="C9" s="63" t="s">
        <v>82</v>
      </c>
      <c r="D9" s="8"/>
      <c r="E9" s="8"/>
      <c r="F9" s="8"/>
      <c r="G9" s="8"/>
      <c r="H9" s="8"/>
      <c r="I9" s="8"/>
      <c r="J9" s="8"/>
      <c r="K9" s="61"/>
      <c r="L9" s="1"/>
      <c r="M9" s="1"/>
      <c r="N9" s="1"/>
      <c r="O9" s="1"/>
      <c r="P9" s="1"/>
      <c r="Q9" s="1"/>
      <c r="R9" s="1"/>
      <c r="S9" s="1"/>
      <c r="T9" s="1"/>
      <c r="U9" s="1"/>
      <c r="V9" s="1"/>
      <c r="W9" s="1"/>
    </row>
    <row r="10" spans="2:23" ht="16.5">
      <c r="B10" s="62"/>
      <c r="C10" s="63"/>
      <c r="D10" s="8"/>
      <c r="E10" s="8"/>
      <c r="F10" s="8"/>
      <c r="G10" s="8"/>
      <c r="H10" s="8"/>
      <c r="I10" s="8"/>
      <c r="J10" s="8"/>
      <c r="K10" s="61"/>
      <c r="L10" s="1"/>
      <c r="M10" s="1"/>
      <c r="N10" s="1"/>
      <c r="O10" s="1"/>
      <c r="P10" s="1"/>
      <c r="Q10" s="1"/>
      <c r="R10" s="1"/>
      <c r="S10" s="1"/>
      <c r="T10" s="1"/>
      <c r="U10" s="1"/>
      <c r="V10" s="1"/>
      <c r="W10" s="1"/>
    </row>
    <row r="11" spans="2:23" ht="16.5">
      <c r="B11" s="62" t="s">
        <v>81</v>
      </c>
      <c r="C11" s="63" t="s">
        <v>83</v>
      </c>
      <c r="D11" s="8"/>
      <c r="E11" s="8"/>
      <c r="F11" s="8"/>
      <c r="G11" s="8"/>
      <c r="H11" s="8"/>
      <c r="I11" s="8"/>
      <c r="J11" s="8"/>
      <c r="K11" s="61"/>
      <c r="L11" s="1"/>
      <c r="M11" s="1"/>
      <c r="N11" s="1"/>
      <c r="O11" s="1"/>
      <c r="P11" s="1"/>
      <c r="Q11" s="1"/>
      <c r="R11" s="1"/>
      <c r="S11" s="1"/>
      <c r="T11" s="1"/>
      <c r="U11" s="1"/>
      <c r="V11" s="1"/>
      <c r="W11" s="1"/>
    </row>
    <row r="12" spans="2:23" ht="16.5">
      <c r="B12" s="62"/>
      <c r="C12" s="63"/>
      <c r="D12" s="8"/>
      <c r="E12" s="8"/>
      <c r="F12" s="8"/>
      <c r="G12" s="8"/>
      <c r="H12" s="8"/>
      <c r="I12" s="8"/>
      <c r="J12" s="8"/>
      <c r="K12" s="61"/>
      <c r="L12" s="1"/>
      <c r="M12" s="1"/>
      <c r="N12" s="1"/>
      <c r="O12" s="1"/>
      <c r="P12" s="1"/>
      <c r="Q12" s="1"/>
      <c r="R12" s="1"/>
      <c r="S12" s="1"/>
      <c r="T12" s="1"/>
      <c r="U12" s="1"/>
      <c r="V12" s="1"/>
      <c r="W12" s="1"/>
    </row>
    <row r="13" spans="2:23" ht="16.5">
      <c r="B13" s="62" t="s">
        <v>81</v>
      </c>
      <c r="C13" s="63" t="s">
        <v>84</v>
      </c>
      <c r="D13" s="8"/>
      <c r="E13" s="8"/>
      <c r="F13" s="8"/>
      <c r="G13" s="8"/>
      <c r="H13" s="8"/>
      <c r="I13" s="8"/>
      <c r="J13" s="8"/>
      <c r="K13" s="61"/>
      <c r="L13" s="1"/>
      <c r="M13" s="1"/>
      <c r="N13" s="1"/>
      <c r="O13" s="1"/>
      <c r="P13" s="1"/>
      <c r="Q13" s="1"/>
      <c r="R13" s="1"/>
      <c r="S13" s="1"/>
      <c r="T13" s="1"/>
      <c r="U13" s="1"/>
      <c r="V13" s="1"/>
      <c r="W13" s="1"/>
    </row>
    <row r="14" spans="2:23" ht="16.5">
      <c r="B14" s="62" t="s">
        <v>5</v>
      </c>
      <c r="C14" s="63" t="s">
        <v>85</v>
      </c>
      <c r="D14" s="64"/>
      <c r="E14" s="8"/>
      <c r="F14" s="8"/>
      <c r="G14" s="8"/>
      <c r="H14" s="8"/>
      <c r="I14" s="8"/>
      <c r="J14" s="8"/>
      <c r="K14" s="61"/>
      <c r="L14" s="1"/>
      <c r="M14" s="1"/>
      <c r="N14" s="1"/>
      <c r="O14" s="1"/>
      <c r="P14" s="1"/>
      <c r="Q14" s="1"/>
      <c r="R14" s="1"/>
      <c r="S14" s="1"/>
      <c r="T14" s="1"/>
      <c r="U14" s="1"/>
      <c r="V14" s="1"/>
      <c r="W14" s="1"/>
    </row>
    <row r="15" spans="2:23" ht="16.5">
      <c r="B15" s="62" t="s">
        <v>5</v>
      </c>
      <c r="C15" s="63" t="s">
        <v>86</v>
      </c>
      <c r="D15" s="64"/>
      <c r="E15" s="8"/>
      <c r="F15" s="8"/>
      <c r="G15" s="8"/>
      <c r="H15" s="8"/>
      <c r="I15" s="8"/>
      <c r="J15" s="8"/>
      <c r="K15" s="61"/>
      <c r="L15" s="1"/>
      <c r="M15" s="1"/>
      <c r="N15" s="1"/>
      <c r="O15" s="1"/>
      <c r="P15" s="1"/>
      <c r="Q15" s="1"/>
      <c r="R15" s="1"/>
      <c r="S15" s="1"/>
      <c r="T15" s="1"/>
      <c r="U15" s="1"/>
      <c r="V15" s="1"/>
      <c r="W15" s="1"/>
    </row>
    <row r="16" spans="2:23" ht="16.5">
      <c r="B16" s="62"/>
      <c r="C16" s="63"/>
      <c r="D16" s="8"/>
      <c r="E16" s="8"/>
      <c r="F16" s="8"/>
      <c r="G16" s="8"/>
      <c r="H16" s="8"/>
      <c r="I16" s="8"/>
      <c r="J16" s="8"/>
      <c r="K16" s="61"/>
      <c r="L16" s="1"/>
      <c r="M16" s="1"/>
      <c r="N16" s="1"/>
      <c r="O16" s="1"/>
      <c r="P16" s="1"/>
      <c r="Q16" s="1"/>
      <c r="R16" s="1"/>
      <c r="S16" s="1"/>
      <c r="T16" s="1"/>
      <c r="U16" s="1"/>
      <c r="V16" s="1"/>
      <c r="W16" s="1"/>
    </row>
    <row r="17" spans="2:23" ht="16.5">
      <c r="B17" s="62" t="s">
        <v>81</v>
      </c>
      <c r="C17" s="63" t="s">
        <v>87</v>
      </c>
      <c r="D17" s="8"/>
      <c r="E17" s="8"/>
      <c r="F17" s="8"/>
      <c r="G17" s="8"/>
      <c r="H17" s="8"/>
      <c r="I17" s="8"/>
      <c r="J17" s="8"/>
      <c r="K17" s="61"/>
      <c r="L17" s="1"/>
      <c r="M17" s="1"/>
      <c r="N17" s="1"/>
      <c r="O17" s="1"/>
      <c r="P17" s="1"/>
      <c r="Q17" s="1"/>
      <c r="R17" s="1"/>
      <c r="S17" s="1"/>
      <c r="T17" s="1"/>
      <c r="U17" s="1"/>
      <c r="V17" s="1"/>
      <c r="W17" s="1"/>
    </row>
    <row r="18" spans="2:23" ht="16.5">
      <c r="B18" s="65" t="s">
        <v>5</v>
      </c>
      <c r="C18" s="63" t="s">
        <v>88</v>
      </c>
      <c r="D18" s="64"/>
      <c r="E18" s="8"/>
      <c r="F18" s="8"/>
      <c r="G18" s="8"/>
      <c r="H18" s="8"/>
      <c r="I18" s="8"/>
      <c r="J18" s="8"/>
      <c r="K18" s="61"/>
      <c r="L18" s="1"/>
      <c r="M18" s="1"/>
      <c r="N18" s="1"/>
      <c r="O18" s="1"/>
      <c r="P18" s="1"/>
      <c r="Q18" s="1"/>
      <c r="R18" s="1"/>
      <c r="S18" s="1"/>
      <c r="T18" s="1"/>
      <c r="U18" s="1"/>
      <c r="V18" s="1"/>
      <c r="W18" s="1"/>
    </row>
    <row r="19" spans="2:23" ht="16.5">
      <c r="B19" s="65"/>
      <c r="C19" s="63"/>
      <c r="D19" s="64"/>
      <c r="E19" s="8"/>
      <c r="F19" s="8"/>
      <c r="G19" s="8"/>
      <c r="H19" s="8"/>
      <c r="I19" s="8"/>
      <c r="J19" s="8"/>
      <c r="K19" s="61"/>
      <c r="L19" s="1"/>
      <c r="M19" s="1"/>
      <c r="N19" s="1"/>
      <c r="O19" s="1"/>
      <c r="P19" s="1"/>
      <c r="Q19" s="1"/>
      <c r="R19" s="1"/>
      <c r="S19" s="1"/>
      <c r="T19" s="1"/>
      <c r="U19" s="1"/>
      <c r="V19" s="1"/>
      <c r="W19" s="1"/>
    </row>
    <row r="20" spans="2:23" ht="16.5">
      <c r="B20" s="62" t="s">
        <v>81</v>
      </c>
      <c r="C20" s="63" t="s">
        <v>119</v>
      </c>
      <c r="D20" s="64"/>
      <c r="E20" s="8"/>
      <c r="F20" s="8"/>
      <c r="G20" s="8"/>
      <c r="H20" s="8"/>
      <c r="I20" s="8"/>
      <c r="J20" s="8"/>
      <c r="K20" s="61"/>
      <c r="L20" s="1"/>
      <c r="M20" s="1"/>
      <c r="N20" s="1"/>
      <c r="O20" s="1"/>
      <c r="P20" s="1"/>
      <c r="Q20" s="1"/>
      <c r="R20" s="1"/>
      <c r="S20" s="1"/>
      <c r="T20" s="1"/>
      <c r="U20" s="1"/>
      <c r="V20" s="1"/>
      <c r="W20" s="1"/>
    </row>
    <row r="21" spans="2:23" ht="16.5">
      <c r="B21" s="65" t="s">
        <v>5</v>
      </c>
      <c r="C21" s="63" t="s">
        <v>120</v>
      </c>
      <c r="D21" s="64"/>
      <c r="E21" s="8"/>
      <c r="F21" s="8"/>
      <c r="G21" s="8"/>
      <c r="H21" s="8"/>
      <c r="I21" s="8"/>
      <c r="J21" s="8"/>
      <c r="K21" s="61"/>
      <c r="L21" s="1"/>
      <c r="M21" s="1"/>
      <c r="N21" s="1"/>
      <c r="O21" s="1"/>
      <c r="P21" s="1"/>
      <c r="Q21" s="1"/>
      <c r="R21" s="1"/>
      <c r="S21" s="1"/>
      <c r="T21" s="1"/>
      <c r="U21" s="1"/>
      <c r="V21" s="1"/>
      <c r="W21" s="1"/>
    </row>
    <row r="22" spans="2:23" ht="16.5">
      <c r="B22" s="72"/>
      <c r="C22" s="79" t="s">
        <v>121</v>
      </c>
      <c r="D22" s="8"/>
      <c r="E22" s="8"/>
      <c r="F22" s="8"/>
      <c r="G22" s="8"/>
      <c r="H22" s="8"/>
      <c r="I22" s="8"/>
      <c r="J22" s="8"/>
      <c r="K22" s="61"/>
      <c r="L22" s="1"/>
      <c r="M22" s="1"/>
      <c r="N22" s="1"/>
      <c r="O22" s="1"/>
      <c r="P22" s="1"/>
      <c r="Q22" s="1"/>
      <c r="R22" s="1"/>
      <c r="S22" s="1"/>
      <c r="T22" s="1"/>
      <c r="U22" s="1"/>
      <c r="V22" s="1"/>
      <c r="W22" s="1"/>
    </row>
    <row r="23" spans="2:23" ht="12.75">
      <c r="B23" s="80"/>
      <c r="C23" s="7"/>
      <c r="D23" s="7"/>
      <c r="E23" s="7"/>
      <c r="F23" s="7"/>
      <c r="G23" s="7"/>
      <c r="H23" s="7"/>
      <c r="I23" s="7"/>
      <c r="J23" s="7"/>
      <c r="K23" s="66"/>
      <c r="L23" s="1"/>
      <c r="M23" s="1"/>
      <c r="N23" s="1"/>
      <c r="O23" s="1"/>
      <c r="P23" s="1"/>
      <c r="Q23" s="1"/>
      <c r="R23" s="1"/>
      <c r="S23" s="1"/>
      <c r="T23" s="1"/>
      <c r="U23" s="1"/>
      <c r="V23" s="1"/>
      <c r="W23" s="1"/>
    </row>
    <row r="24" spans="2:23" ht="15.75">
      <c r="B24" s="67"/>
      <c r="C24" s="8"/>
      <c r="D24" s="8"/>
      <c r="E24" s="8"/>
      <c r="F24" s="8"/>
      <c r="G24" s="8"/>
      <c r="H24" s="8"/>
      <c r="I24" s="8"/>
      <c r="J24" s="8"/>
      <c r="K24" s="8"/>
      <c r="L24" s="1"/>
      <c r="M24" s="1"/>
      <c r="N24" s="1"/>
      <c r="O24" s="1"/>
      <c r="P24" s="1"/>
      <c r="Q24" s="1"/>
      <c r="R24" s="1"/>
      <c r="S24" s="1"/>
      <c r="T24" s="1"/>
      <c r="U24" s="1"/>
      <c r="V24" s="1"/>
      <c r="W24" s="1"/>
    </row>
    <row r="25" spans="2:23" ht="15.75">
      <c r="B25" s="68" t="s">
        <v>89</v>
      </c>
      <c r="C25" s="69" t="s">
        <v>90</v>
      </c>
      <c r="D25" s="69"/>
      <c r="E25" s="58"/>
      <c r="F25" s="58"/>
      <c r="G25" s="58"/>
      <c r="H25" s="58"/>
      <c r="I25" s="58"/>
      <c r="J25" s="58"/>
      <c r="K25" s="59"/>
      <c r="L25" s="1"/>
      <c r="M25" s="77"/>
      <c r="N25" s="1"/>
      <c r="O25" s="1"/>
      <c r="P25" s="1"/>
      <c r="Q25" s="1"/>
      <c r="R25" s="1"/>
      <c r="S25" s="1"/>
      <c r="T25" s="1"/>
      <c r="U25" s="1"/>
      <c r="V25" s="1"/>
      <c r="W25" s="1"/>
    </row>
    <row r="26" spans="2:23" ht="15.75">
      <c r="B26" s="70"/>
      <c r="C26" s="71" t="s">
        <v>91</v>
      </c>
      <c r="D26" s="71"/>
      <c r="E26" s="8"/>
      <c r="F26" s="8"/>
      <c r="G26" s="8"/>
      <c r="H26" s="8"/>
      <c r="I26" s="8"/>
      <c r="J26" s="8"/>
      <c r="K26" s="61"/>
      <c r="L26" s="1"/>
      <c r="M26" s="49"/>
      <c r="N26" s="1"/>
      <c r="O26" s="1"/>
      <c r="P26" s="1"/>
      <c r="Q26" s="1"/>
      <c r="R26" s="1"/>
      <c r="S26" s="1"/>
      <c r="T26" s="1"/>
      <c r="U26" s="1"/>
      <c r="V26" s="1"/>
      <c r="W26" s="1"/>
    </row>
    <row r="27" spans="2:23" ht="15.75">
      <c r="B27" s="72"/>
      <c r="C27" s="71" t="s">
        <v>92</v>
      </c>
      <c r="D27" s="71"/>
      <c r="E27" s="8"/>
      <c r="F27" s="8"/>
      <c r="G27" s="8"/>
      <c r="H27" s="8"/>
      <c r="I27" s="8"/>
      <c r="J27" s="8"/>
      <c r="K27" s="61"/>
      <c r="L27" s="1"/>
      <c r="M27" s="1"/>
      <c r="N27" s="1"/>
      <c r="O27" s="1"/>
      <c r="P27" s="1"/>
      <c r="Q27" s="1"/>
      <c r="R27" s="1"/>
      <c r="S27" s="1"/>
      <c r="T27" s="1"/>
      <c r="U27" s="1"/>
      <c r="V27" s="1"/>
      <c r="W27" s="1"/>
    </row>
    <row r="28" spans="2:23" ht="15.75">
      <c r="B28" s="70"/>
      <c r="C28" s="71" t="s">
        <v>93</v>
      </c>
      <c r="D28" s="71"/>
      <c r="E28" s="8"/>
      <c r="F28" s="8"/>
      <c r="G28" s="8"/>
      <c r="H28" s="8"/>
      <c r="I28" s="8"/>
      <c r="J28" s="8"/>
      <c r="K28" s="61"/>
      <c r="L28" s="1"/>
      <c r="M28" s="1"/>
      <c r="N28" s="1"/>
      <c r="O28" s="1"/>
      <c r="P28" s="1"/>
      <c r="Q28" s="1"/>
      <c r="R28" s="1"/>
      <c r="S28" s="1"/>
      <c r="T28" s="1"/>
      <c r="U28" s="1"/>
      <c r="V28" s="1"/>
      <c r="W28" s="1"/>
    </row>
    <row r="29" spans="2:23" ht="15.75">
      <c r="B29" s="70"/>
      <c r="C29" s="64" t="s">
        <v>94</v>
      </c>
      <c r="D29" s="64"/>
      <c r="E29" s="8"/>
      <c r="F29" s="8"/>
      <c r="G29" s="8"/>
      <c r="H29" s="8"/>
      <c r="I29" s="8"/>
      <c r="J29" s="8"/>
      <c r="K29" s="61"/>
      <c r="L29" s="1"/>
      <c r="M29" s="1"/>
      <c r="N29" s="1"/>
      <c r="O29" s="1"/>
      <c r="P29" s="1"/>
      <c r="Q29" s="1"/>
      <c r="R29" s="1"/>
      <c r="S29" s="1"/>
      <c r="T29" s="1"/>
      <c r="U29" s="1"/>
      <c r="V29" s="1"/>
      <c r="W29" s="1"/>
    </row>
    <row r="30" spans="2:23" ht="15.75">
      <c r="B30" s="73"/>
      <c r="C30" s="64" t="s">
        <v>95</v>
      </c>
      <c r="D30" s="64"/>
      <c r="E30" s="8"/>
      <c r="F30" s="8"/>
      <c r="G30" s="8"/>
      <c r="H30" s="8"/>
      <c r="I30" s="8"/>
      <c r="J30" s="8"/>
      <c r="K30" s="61"/>
      <c r="L30" s="1"/>
      <c r="M30" s="1"/>
      <c r="N30" s="1"/>
      <c r="O30" s="1"/>
      <c r="P30" s="1"/>
      <c r="Q30" s="1"/>
      <c r="R30" s="1"/>
      <c r="S30" s="1"/>
      <c r="T30" s="1"/>
      <c r="U30" s="1"/>
      <c r="V30" s="1"/>
      <c r="W30" s="1"/>
    </row>
    <row r="31" spans="2:23" ht="15.75">
      <c r="B31" s="70"/>
      <c r="C31" s="64" t="s">
        <v>96</v>
      </c>
      <c r="D31" s="64"/>
      <c r="E31" s="8"/>
      <c r="F31" s="8"/>
      <c r="G31" s="8"/>
      <c r="H31" s="8"/>
      <c r="I31" s="8"/>
      <c r="J31" s="8"/>
      <c r="K31" s="61"/>
      <c r="L31" s="1"/>
      <c r="M31" s="1"/>
      <c r="N31" s="1"/>
      <c r="O31" s="1"/>
      <c r="P31" s="1"/>
      <c r="Q31" s="1"/>
      <c r="R31" s="1"/>
      <c r="S31" s="1"/>
      <c r="T31" s="1"/>
      <c r="U31" s="1"/>
      <c r="V31" s="1"/>
      <c r="W31" s="1"/>
    </row>
    <row r="32" spans="2:23" ht="15.75">
      <c r="B32" s="74"/>
      <c r="C32" s="75" t="s">
        <v>97</v>
      </c>
      <c r="D32" s="75"/>
      <c r="E32" s="7"/>
      <c r="F32" s="7"/>
      <c r="G32" s="7"/>
      <c r="H32" s="7"/>
      <c r="I32" s="7"/>
      <c r="J32" s="7"/>
      <c r="K32" s="66"/>
      <c r="L32" s="1"/>
      <c r="M32" s="1"/>
      <c r="N32" s="1"/>
      <c r="O32" s="1"/>
      <c r="P32" s="1"/>
      <c r="Q32" s="1"/>
      <c r="R32" s="1"/>
      <c r="S32" s="1"/>
      <c r="T32" s="1"/>
      <c r="U32" s="1"/>
      <c r="V32" s="1"/>
      <c r="W32" s="1"/>
    </row>
    <row r="33" spans="3:10" ht="65.25" customHeight="1">
      <c r="C33" s="1043">
        <f>+'Congregate Meal Budget'!C2</f>
        <v>0</v>
      </c>
      <c r="D33" s="1043"/>
      <c r="E33" s="1043"/>
      <c r="F33" s="50"/>
      <c r="G33" s="923"/>
      <c r="H33" s="923"/>
      <c r="I33" s="923"/>
      <c r="J33" s="923"/>
    </row>
    <row r="34" spans="3:10" ht="12.75">
      <c r="C34" s="933" t="s">
        <v>98</v>
      </c>
      <c r="D34" s="933"/>
      <c r="E34" s="933"/>
      <c r="F34" s="51"/>
      <c r="G34" s="921" t="s">
        <v>34</v>
      </c>
      <c r="H34" s="921"/>
      <c r="I34" s="921"/>
      <c r="J34" s="921"/>
    </row>
    <row r="35" ht="12.75">
      <c r="B35" s="51"/>
    </row>
    <row r="36" ht="12.75">
      <c r="B36" s="51"/>
    </row>
    <row r="37" spans="3:10" ht="15.75">
      <c r="C37" s="1042"/>
      <c r="D37" s="1042"/>
      <c r="E37" s="1042"/>
      <c r="F37" s="50"/>
      <c r="G37" s="1045"/>
      <c r="H37" s="1045"/>
      <c r="I37" s="1045"/>
      <c r="J37" s="1045"/>
    </row>
    <row r="38" spans="3:10" ht="12.75">
      <c r="C38" s="921" t="s">
        <v>36</v>
      </c>
      <c r="D38" s="921"/>
      <c r="E38" s="921"/>
      <c r="F38" s="52"/>
      <c r="G38" s="921" t="s">
        <v>35</v>
      </c>
      <c r="H38" s="921"/>
      <c r="I38" s="921"/>
      <c r="J38" s="921"/>
    </row>
    <row r="39" ht="12.75">
      <c r="B39" s="51"/>
    </row>
    <row r="40" ht="12.75">
      <c r="B40" s="51"/>
    </row>
    <row r="41" ht="12.75">
      <c r="B41" s="51"/>
    </row>
    <row r="42" spans="3:9" ht="20.25" customHeight="1">
      <c r="C42" s="51" t="s">
        <v>99</v>
      </c>
      <c r="D42" s="53"/>
      <c r="E42" s="54" t="s">
        <v>100</v>
      </c>
      <c r="F42" s="53"/>
      <c r="G42" s="54" t="s">
        <v>101</v>
      </c>
      <c r="H42" s="54"/>
      <c r="I42" s="54"/>
    </row>
    <row r="43" spans="3:9" ht="18.75" customHeight="1">
      <c r="C43" s="51" t="s">
        <v>102</v>
      </c>
      <c r="D43" s="53"/>
      <c r="E43" s="51" t="s">
        <v>103</v>
      </c>
      <c r="F43" s="53"/>
      <c r="G43" s="54" t="s">
        <v>104</v>
      </c>
      <c r="H43" s="54"/>
      <c r="I43" s="54"/>
    </row>
    <row r="44" spans="4:9" ht="20.25" customHeight="1">
      <c r="D44" s="53"/>
      <c r="E44" s="54" t="s">
        <v>105</v>
      </c>
      <c r="F44" s="53"/>
      <c r="G44" s="54" t="s">
        <v>106</v>
      </c>
      <c r="H44" s="54"/>
      <c r="I44" s="54"/>
    </row>
    <row r="45" ht="12.75">
      <c r="B45" s="51"/>
    </row>
  </sheetData>
  <sheetProtection sheet="1" formatCells="0" formatColumns="0" formatRows="0"/>
  <mergeCells count="14">
    <mergeCell ref="B5:K5"/>
    <mergeCell ref="C34:E34"/>
    <mergeCell ref="G34:J34"/>
    <mergeCell ref="D3:I3"/>
    <mergeCell ref="D2:H2"/>
    <mergeCell ref="C38:E38"/>
    <mergeCell ref="G38:J38"/>
    <mergeCell ref="C37:E37"/>
    <mergeCell ref="C33:E33"/>
    <mergeCell ref="G33:J33"/>
    <mergeCell ref="B4:K4"/>
    <mergeCell ref="G37:J37"/>
    <mergeCell ref="B6:E6"/>
    <mergeCell ref="G6:K6"/>
  </mergeCells>
  <printOptions/>
  <pageMargins left="0.7" right="0.7" top="0.75" bottom="0.75" header="0.3" footer="0.3"/>
  <pageSetup fitToHeight="1" fitToWidth="1" horizontalDpi="600" verticalDpi="600" orientation="portrait" paperSize="5" scale="89" r:id="rId2"/>
  <legacyDrawing r:id="rId1"/>
</worksheet>
</file>

<file path=xl/worksheets/sheet12.xml><?xml version="1.0" encoding="utf-8"?>
<worksheet xmlns="http://schemas.openxmlformats.org/spreadsheetml/2006/main" xmlns:r="http://schemas.openxmlformats.org/officeDocument/2006/relationships">
  <sheetPr codeName="Sheet11">
    <tabColor rgb="FF00B050"/>
    <pageSetUpPr fitToPage="1"/>
  </sheetPr>
  <dimension ref="A1:N50"/>
  <sheetViews>
    <sheetView showGridLines="0" zoomScalePageLayoutView="0" workbookViewId="0" topLeftCell="A1">
      <selection activeCell="B10" sqref="B10"/>
    </sheetView>
  </sheetViews>
  <sheetFormatPr defaultColWidth="9.140625" defaultRowHeight="12.75"/>
  <cols>
    <col min="1" max="1" width="6.140625" style="20" customWidth="1"/>
    <col min="2" max="2" width="11.421875" style="20" customWidth="1"/>
    <col min="3" max="3" width="11.00390625" style="20" customWidth="1"/>
    <col min="4" max="4" width="14.140625" style="20" customWidth="1"/>
    <col min="5" max="5" width="23.7109375" style="20" customWidth="1"/>
    <col min="6" max="6" width="21.28125" style="20" customWidth="1"/>
    <col min="7" max="7" width="23.421875" style="20" customWidth="1"/>
    <col min="8" max="8" width="3.421875" style="20" customWidth="1"/>
    <col min="9" max="16384" width="9.140625" style="20" customWidth="1"/>
  </cols>
  <sheetData>
    <row r="1" spans="3:4" ht="15">
      <c r="C1" s="1049">
        <f ca="1">NOW()</f>
        <v>44650.39911342593</v>
      </c>
      <c r="D1" s="1049"/>
    </row>
    <row r="2" spans="3:7" ht="15">
      <c r="C2" s="644" t="s">
        <v>389</v>
      </c>
      <c r="D2" s="1050" t="str">
        <f>+'Provider Information'!D21</f>
        <v>Area Agency on Aging of Deep East Texas</v>
      </c>
      <c r="E2" s="1050"/>
      <c r="F2" s="1050"/>
      <c r="G2" s="1050"/>
    </row>
    <row r="3" spans="1:8" ht="18.75">
      <c r="A3" s="228"/>
      <c r="B3" s="1047" t="s">
        <v>248</v>
      </c>
      <c r="C3" s="1047"/>
      <c r="D3" s="1047"/>
      <c r="E3" s="1047"/>
      <c r="F3" s="1047"/>
      <c r="G3" s="1047"/>
      <c r="H3" s="228"/>
    </row>
    <row r="4" spans="2:8" ht="15">
      <c r="B4" s="1048" t="s">
        <v>40</v>
      </c>
      <c r="C4" s="1048"/>
      <c r="D4" s="1048"/>
      <c r="E4" s="1048"/>
      <c r="F4" s="1048"/>
      <c r="G4" s="1048"/>
      <c r="H4" s="229"/>
    </row>
    <row r="5" spans="2:5" ht="15">
      <c r="B5" s="20" t="s">
        <v>41</v>
      </c>
      <c r="C5" s="989">
        <f>IF(ISBLANK('Provider Information'!F6),"",+'Provider Information'!F6)</f>
      </c>
      <c r="D5" s="990"/>
      <c r="E5" s="990"/>
    </row>
    <row r="7" spans="2:7" ht="15">
      <c r="B7" s="967" t="s">
        <v>42</v>
      </c>
      <c r="C7" s="967"/>
      <c r="D7" s="977">
        <f>+G25</f>
        <v>0</v>
      </c>
      <c r="E7" s="978"/>
      <c r="F7" s="36"/>
      <c r="G7" s="203"/>
    </row>
    <row r="9" spans="2:7" ht="15">
      <c r="B9" s="963" t="s">
        <v>449</v>
      </c>
      <c r="C9" s="963"/>
      <c r="D9" s="963"/>
      <c r="E9" s="963"/>
      <c r="F9" s="963"/>
      <c r="G9" s="963"/>
    </row>
    <row r="10" ht="15.75" thickBot="1"/>
    <row r="11" spans="2:7" ht="15.75" thickTop="1">
      <c r="B11" s="22"/>
      <c r="C11" s="23"/>
      <c r="D11" s="23"/>
      <c r="E11" s="24"/>
      <c r="F11" s="25"/>
      <c r="G11" s="26"/>
    </row>
    <row r="12" spans="2:7" ht="15">
      <c r="B12" s="981" t="s">
        <v>43</v>
      </c>
      <c r="C12" s="982"/>
      <c r="D12" s="982"/>
      <c r="E12" s="983"/>
      <c r="F12" s="748" t="s">
        <v>44</v>
      </c>
      <c r="G12" s="28" t="s">
        <v>75</v>
      </c>
    </row>
    <row r="13" spans="2:7" ht="15">
      <c r="B13" s="984"/>
      <c r="C13" s="985"/>
      <c r="D13" s="985"/>
      <c r="E13" s="986"/>
      <c r="F13" s="47"/>
      <c r="G13" s="44"/>
    </row>
    <row r="14" spans="2:7" ht="15">
      <c r="B14" s="970"/>
      <c r="C14" s="971"/>
      <c r="D14" s="971"/>
      <c r="E14" s="972"/>
      <c r="F14" s="43"/>
      <c r="G14" s="44"/>
    </row>
    <row r="15" spans="2:7" ht="15">
      <c r="B15" s="970"/>
      <c r="C15" s="971"/>
      <c r="D15" s="971"/>
      <c r="E15" s="972"/>
      <c r="F15" s="43"/>
      <c r="G15" s="44"/>
    </row>
    <row r="16" spans="2:7" ht="15">
      <c r="B16" s="970"/>
      <c r="C16" s="971"/>
      <c r="D16" s="971"/>
      <c r="E16" s="972"/>
      <c r="F16" s="43"/>
      <c r="G16" s="44"/>
    </row>
    <row r="17" spans="2:7" ht="15">
      <c r="B17" s="970"/>
      <c r="C17" s="971"/>
      <c r="D17" s="971"/>
      <c r="E17" s="972"/>
      <c r="F17" s="43"/>
      <c r="G17" s="44"/>
    </row>
    <row r="18" spans="2:7" ht="15">
      <c r="B18" s="970"/>
      <c r="C18" s="971"/>
      <c r="D18" s="971"/>
      <c r="E18" s="972"/>
      <c r="F18" s="43"/>
      <c r="G18" s="44"/>
    </row>
    <row r="19" spans="2:7" ht="15">
      <c r="B19" s="970"/>
      <c r="C19" s="971"/>
      <c r="D19" s="971"/>
      <c r="E19" s="972"/>
      <c r="F19" s="43"/>
      <c r="G19" s="44"/>
    </row>
    <row r="20" spans="2:10" ht="15">
      <c r="B20" s="970"/>
      <c r="C20" s="971"/>
      <c r="D20" s="971"/>
      <c r="E20" s="972"/>
      <c r="F20" s="43"/>
      <c r="G20" s="44"/>
      <c r="J20" s="29"/>
    </row>
    <row r="21" spans="2:7" ht="15">
      <c r="B21" s="970"/>
      <c r="C21" s="979"/>
      <c r="D21" s="979"/>
      <c r="E21" s="980"/>
      <c r="F21" s="43"/>
      <c r="G21" s="44"/>
    </row>
    <row r="22" spans="2:7" ht="15">
      <c r="B22" s="970"/>
      <c r="C22" s="971"/>
      <c r="D22" s="971"/>
      <c r="E22" s="972"/>
      <c r="F22" s="43"/>
      <c r="G22" s="44"/>
    </row>
    <row r="23" spans="2:7" ht="15">
      <c r="B23" s="970"/>
      <c r="C23" s="971"/>
      <c r="D23" s="971"/>
      <c r="E23" s="972"/>
      <c r="F23" s="43"/>
      <c r="G23" s="44"/>
    </row>
    <row r="24" spans="2:7" ht="15">
      <c r="B24" s="970"/>
      <c r="C24" s="971"/>
      <c r="D24" s="971"/>
      <c r="E24" s="972"/>
      <c r="F24" s="43"/>
      <c r="G24" s="44"/>
    </row>
    <row r="25" spans="2:7" ht="15.75" thickBot="1">
      <c r="B25" s="973"/>
      <c r="C25" s="974"/>
      <c r="D25" s="974"/>
      <c r="E25" s="975"/>
      <c r="F25" s="30" t="s">
        <v>45</v>
      </c>
      <c r="G25" s="31">
        <f>SUM(G13:G24)</f>
        <v>0</v>
      </c>
    </row>
    <row r="26" ht="15.75" thickTop="1"/>
    <row r="27" spans="2:7" ht="30" customHeight="1">
      <c r="B27" s="32" t="s">
        <v>46</v>
      </c>
      <c r="C27" s="968" t="s">
        <v>47</v>
      </c>
      <c r="D27" s="969"/>
      <c r="E27" s="969"/>
      <c r="F27" s="969"/>
      <c r="G27" s="29"/>
    </row>
    <row r="29" ht="15">
      <c r="B29" s="20" t="s">
        <v>48</v>
      </c>
    </row>
    <row r="31" spans="2:4" ht="15">
      <c r="B31" s="20" t="s">
        <v>49</v>
      </c>
      <c r="C31" s="34" t="s">
        <v>0</v>
      </c>
      <c r="D31" s="20" t="s">
        <v>50</v>
      </c>
    </row>
    <row r="32" spans="3:8" ht="30.75" customHeight="1">
      <c r="C32" s="35" t="s">
        <v>2</v>
      </c>
      <c r="D32" s="968" t="s">
        <v>76</v>
      </c>
      <c r="E32" s="968"/>
      <c r="F32" s="968"/>
      <c r="G32" s="968"/>
      <c r="H32" s="33"/>
    </row>
    <row r="34" spans="2:14" ht="15">
      <c r="B34" s="20" t="s">
        <v>51</v>
      </c>
      <c r="C34" s="34" t="s">
        <v>0</v>
      </c>
      <c r="D34" s="20" t="s">
        <v>52</v>
      </c>
      <c r="J34" s="968"/>
      <c r="K34" s="968"/>
      <c r="L34" s="968"/>
      <c r="M34" s="968"/>
      <c r="N34" s="968"/>
    </row>
    <row r="35" spans="3:7" ht="33" customHeight="1">
      <c r="C35" s="35" t="s">
        <v>2</v>
      </c>
      <c r="D35" s="968" t="s">
        <v>110</v>
      </c>
      <c r="E35" s="969"/>
      <c r="F35" s="969"/>
      <c r="G35" s="969"/>
    </row>
    <row r="36" spans="3:7" ht="15">
      <c r="C36" s="36"/>
      <c r="D36" s="37"/>
      <c r="E36" s="37"/>
      <c r="F36" s="37"/>
      <c r="G36" s="37"/>
    </row>
    <row r="37" spans="3:6" ht="15">
      <c r="C37" s="36"/>
      <c r="F37" s="21"/>
    </row>
    <row r="38" ht="15">
      <c r="B38" s="38" t="s">
        <v>77</v>
      </c>
    </row>
    <row r="39" ht="15">
      <c r="B39" s="38" t="s">
        <v>53</v>
      </c>
    </row>
    <row r="41" spans="2:4" ht="15">
      <c r="B41" s="20" t="s">
        <v>54</v>
      </c>
      <c r="C41" s="34" t="s">
        <v>0</v>
      </c>
      <c r="D41" s="20" t="s">
        <v>55</v>
      </c>
    </row>
    <row r="42" spans="3:4" ht="15">
      <c r="C42" s="34" t="s">
        <v>2</v>
      </c>
      <c r="D42" s="37" t="s">
        <v>56</v>
      </c>
    </row>
    <row r="44" spans="2:9" ht="45" customHeight="1">
      <c r="B44" s="962">
        <f>+'Provider Total Budget by Serv'!C2</f>
      </c>
      <c r="C44" s="962"/>
      <c r="D44" s="962"/>
      <c r="E44" s="40"/>
      <c r="F44" s="961">
        <f>'Provider Information'!$F$13</f>
        <v>0</v>
      </c>
      <c r="G44" s="961"/>
      <c r="I44" s="40"/>
    </row>
    <row r="45" spans="1:9" ht="15">
      <c r="A45" s="37"/>
      <c r="B45" s="965" t="s">
        <v>57</v>
      </c>
      <c r="C45" s="965"/>
      <c r="D45" s="965"/>
      <c r="E45" s="41"/>
      <c r="F45" s="964" t="s">
        <v>34</v>
      </c>
      <c r="G45" s="964"/>
      <c r="I45" s="42"/>
    </row>
    <row r="47" spans="2:9" ht="15">
      <c r="B47" s="966"/>
      <c r="C47" s="966"/>
      <c r="D47" s="966"/>
      <c r="E47" s="40"/>
      <c r="F47" s="1051"/>
      <c r="G47" s="1051"/>
      <c r="I47" s="40"/>
    </row>
    <row r="48" spans="2:9" ht="15">
      <c r="B48" s="964" t="s">
        <v>36</v>
      </c>
      <c r="C48" s="965"/>
      <c r="D48" s="965"/>
      <c r="E48" s="21"/>
      <c r="F48" s="964" t="s">
        <v>35</v>
      </c>
      <c r="G48" s="964"/>
      <c r="I48" s="19"/>
    </row>
    <row r="49" spans="2:9" ht="15">
      <c r="B49" s="21"/>
      <c r="C49" s="21"/>
      <c r="D49" s="21"/>
      <c r="E49" s="21"/>
      <c r="G49" s="19"/>
      <c r="H49" s="19"/>
      <c r="I49" s="19"/>
    </row>
    <row r="50" spans="2:8" ht="15">
      <c r="B50" s="963"/>
      <c r="C50" s="963"/>
      <c r="D50" s="963"/>
      <c r="E50" s="963"/>
      <c r="F50" s="963"/>
      <c r="G50" s="963"/>
      <c r="H50" s="963"/>
    </row>
  </sheetData>
  <sheetProtection sheet="1" formatCells="0"/>
  <mergeCells count="35">
    <mergeCell ref="F44:G44"/>
    <mergeCell ref="B44:D44"/>
    <mergeCell ref="F47:G47"/>
    <mergeCell ref="D35:G35"/>
    <mergeCell ref="B18:E18"/>
    <mergeCell ref="B19:E19"/>
    <mergeCell ref="C1:D1"/>
    <mergeCell ref="D2:G2"/>
    <mergeCell ref="B50:H50"/>
    <mergeCell ref="B48:D48"/>
    <mergeCell ref="F48:G48"/>
    <mergeCell ref="B45:D45"/>
    <mergeCell ref="F45:G45"/>
    <mergeCell ref="B24:E24"/>
    <mergeCell ref="B25:E25"/>
    <mergeCell ref="B47:D47"/>
    <mergeCell ref="D7:E7"/>
    <mergeCell ref="C5:E5"/>
    <mergeCell ref="B7:C7"/>
    <mergeCell ref="B20:E20"/>
    <mergeCell ref="B21:E21"/>
    <mergeCell ref="B14:E14"/>
    <mergeCell ref="B15:E15"/>
    <mergeCell ref="B16:E16"/>
    <mergeCell ref="B17:E17"/>
    <mergeCell ref="C27:F27"/>
    <mergeCell ref="D32:G32"/>
    <mergeCell ref="B22:E22"/>
    <mergeCell ref="B23:E23"/>
    <mergeCell ref="J34:N34"/>
    <mergeCell ref="B3:G3"/>
    <mergeCell ref="B4:G4"/>
    <mergeCell ref="B9:G9"/>
    <mergeCell ref="B12:E12"/>
    <mergeCell ref="B13:E13"/>
  </mergeCells>
  <dataValidations count="2">
    <dataValidation operator="greaterThan" allowBlank="1" showInputMessage="1" showErrorMessage="1" sqref="F13:F24"/>
    <dataValidation type="decimal" allowBlank="1" showInputMessage="1" showErrorMessage="1" sqref="G13:G24">
      <formula1>0</formula1>
      <formula2>15000000</formula2>
    </dataValidation>
  </dataValidations>
  <hyperlinks>
    <hyperlink ref="C27" r:id="rId1" display="http://www.irs.gov/pub/irs-pdf/p561.pdf"/>
  </hyperlinks>
  <printOptions/>
  <pageMargins left="0.7" right="0.7" top="0.75" bottom="0.75" header="0.3" footer="0.3"/>
  <pageSetup fitToHeight="1" fitToWidth="1" horizontalDpi="600" verticalDpi="600" orientation="portrait" paperSize="5" scale="86" r:id="rId2"/>
</worksheet>
</file>

<file path=xl/worksheets/sheet13.xml><?xml version="1.0" encoding="utf-8"?>
<worksheet xmlns="http://schemas.openxmlformats.org/spreadsheetml/2006/main" xmlns:r="http://schemas.openxmlformats.org/officeDocument/2006/relationships">
  <sheetPr codeName="Sheet12">
    <tabColor theme="9" tint="-0.24997000396251678"/>
    <pageSetUpPr fitToPage="1"/>
  </sheetPr>
  <dimension ref="A1:U119"/>
  <sheetViews>
    <sheetView zoomScalePageLayoutView="0" workbookViewId="0" topLeftCell="A1">
      <selection activeCell="C6" sqref="C6:C7"/>
    </sheetView>
  </sheetViews>
  <sheetFormatPr defaultColWidth="9.140625" defaultRowHeight="12.75"/>
  <cols>
    <col min="1" max="1" width="3.57421875" style="316" customWidth="1"/>
    <col min="2" max="2" width="34.8515625" style="316" customWidth="1"/>
    <col min="3" max="3" width="11.7109375" style="461" customWidth="1"/>
    <col min="4" max="4" width="10.140625" style="461" customWidth="1"/>
    <col min="5" max="5" width="13.140625" style="461" customWidth="1"/>
    <col min="6" max="6" width="11.7109375" style="462" customWidth="1"/>
    <col min="7" max="7" width="13.7109375" style="461" customWidth="1"/>
    <col min="8" max="8" width="3.421875" style="320" customWidth="1"/>
    <col min="9" max="9" width="21.421875" style="461" bestFit="1" customWidth="1"/>
    <col min="10" max="10" width="21.421875" style="461" customWidth="1"/>
    <col min="11" max="11" width="23.140625" style="458" customWidth="1"/>
    <col min="12" max="12" width="3.421875" style="320" customWidth="1"/>
    <col min="13" max="13" width="48.57421875" style="320" customWidth="1"/>
    <col min="14" max="14" width="14.57421875" style="320" customWidth="1"/>
    <col min="15" max="15" width="4.57421875" style="288" customWidth="1"/>
    <col min="16" max="18" width="15.7109375" style="288" customWidth="1"/>
    <col min="19" max="16384" width="9.140625" style="288" customWidth="1"/>
  </cols>
  <sheetData>
    <row r="1" spans="1:15" ht="18" customHeight="1">
      <c r="A1" s="564"/>
      <c r="B1" s="779" t="str">
        <f>+'Provider Total Budget by Serv'!J4</f>
        <v>Participant Assessment</v>
      </c>
      <c r="C1" s="779"/>
      <c r="D1" s="779"/>
      <c r="E1" s="779"/>
      <c r="F1" s="779"/>
      <c r="G1" s="779"/>
      <c r="H1" s="779"/>
      <c r="I1" s="779"/>
      <c r="J1" s="779"/>
      <c r="K1" s="779"/>
      <c r="L1" s="779"/>
      <c r="M1" s="779"/>
      <c r="N1" s="779"/>
      <c r="O1" s="1052"/>
    </row>
    <row r="2" spans="1:15" ht="12.75" customHeight="1">
      <c r="A2" s="567"/>
      <c r="B2" s="646" t="s">
        <v>26</v>
      </c>
      <c r="C2" s="903">
        <f>'Provider Information'!$F$6</f>
        <v>0</v>
      </c>
      <c r="D2" s="903"/>
      <c r="E2" s="903"/>
      <c r="F2" s="903"/>
      <c r="G2" s="904"/>
      <c r="H2" s="1055"/>
      <c r="I2" s="1015" t="s">
        <v>256</v>
      </c>
      <c r="J2" s="1015"/>
      <c r="K2" s="1015"/>
      <c r="L2" s="1015"/>
      <c r="M2" s="1015"/>
      <c r="N2" s="1015"/>
      <c r="O2" s="1053"/>
    </row>
    <row r="3" spans="1:15" ht="12.75" customHeight="1">
      <c r="A3" s="567"/>
      <c r="B3" s="644" t="s">
        <v>389</v>
      </c>
      <c r="C3" s="817" t="str">
        <f>+'Provider Information'!D21</f>
        <v>Area Agency on Aging of Deep East Texas</v>
      </c>
      <c r="D3" s="817"/>
      <c r="E3" s="817"/>
      <c r="F3" s="817"/>
      <c r="G3" s="905"/>
      <c r="H3" s="1056"/>
      <c r="I3" s="1018"/>
      <c r="J3" s="1018"/>
      <c r="K3" s="1018"/>
      <c r="L3" s="1018"/>
      <c r="M3" s="1018"/>
      <c r="N3" s="1018"/>
      <c r="O3" s="1053"/>
    </row>
    <row r="4" spans="1:15" ht="12.75" customHeight="1">
      <c r="A4" s="567"/>
      <c r="B4" s="648"/>
      <c r="C4" s="906"/>
      <c r="D4" s="906"/>
      <c r="E4" s="906"/>
      <c r="F4" s="906"/>
      <c r="G4" s="907"/>
      <c r="H4" s="1056"/>
      <c r="I4" s="1021"/>
      <c r="J4" s="1021"/>
      <c r="K4" s="1021"/>
      <c r="L4" s="1021"/>
      <c r="M4" s="1021"/>
      <c r="N4" s="1021"/>
      <c r="O4" s="1053"/>
    </row>
    <row r="5" spans="1:15" ht="12.75" customHeight="1">
      <c r="A5" s="568"/>
      <c r="B5" s="687"/>
      <c r="C5" s="1088">
        <f ca="1">NOW()</f>
        <v>44650.39911342593</v>
      </c>
      <c r="D5" s="1088"/>
      <c r="E5" s="374"/>
      <c r="F5" s="374"/>
      <c r="G5" s="684"/>
      <c r="H5" s="368"/>
      <c r="I5" s="880"/>
      <c r="J5" s="880"/>
      <c r="K5" s="880"/>
      <c r="L5" s="369"/>
      <c r="M5" s="528"/>
      <c r="N5" s="595"/>
      <c r="O5" s="1053"/>
    </row>
    <row r="6" spans="1:15" ht="18" customHeight="1">
      <c r="A6" s="569"/>
      <c r="B6" s="853" t="s">
        <v>328</v>
      </c>
      <c r="C6" s="997">
        <v>2019</v>
      </c>
      <c r="D6" s="999"/>
      <c r="E6" s="999"/>
      <c r="F6" s="999"/>
      <c r="G6" s="1000"/>
      <c r="H6" s="370"/>
      <c r="I6" s="881" t="s">
        <v>258</v>
      </c>
      <c r="J6" s="882"/>
      <c r="K6" s="882"/>
      <c r="L6" s="370"/>
      <c r="M6" s="1025" t="s">
        <v>259</v>
      </c>
      <c r="N6" s="1026"/>
      <c r="O6" s="1053"/>
    </row>
    <row r="7" spans="1:15" ht="18" customHeight="1">
      <c r="A7" s="569"/>
      <c r="B7" s="854"/>
      <c r="C7" s="998"/>
      <c r="D7" s="1001"/>
      <c r="E7" s="1001"/>
      <c r="F7" s="1001"/>
      <c r="G7" s="1002"/>
      <c r="H7" s="371"/>
      <c r="I7" s="883"/>
      <c r="J7" s="884"/>
      <c r="K7" s="884"/>
      <c r="L7" s="371"/>
      <c r="M7" s="1025"/>
      <c r="N7" s="1026"/>
      <c r="O7" s="1053"/>
    </row>
    <row r="8" spans="1:15" ht="12.75" customHeight="1">
      <c r="A8" s="568"/>
      <c r="B8" s="1089"/>
      <c r="C8" s="1089"/>
      <c r="D8" s="1089"/>
      <c r="E8" s="1089"/>
      <c r="F8" s="1089"/>
      <c r="G8" s="1089"/>
      <c r="H8" s="372"/>
      <c r="I8" s="880"/>
      <c r="J8" s="880"/>
      <c r="K8" s="880"/>
      <c r="L8" s="372"/>
      <c r="M8" s="528"/>
      <c r="N8" s="595"/>
      <c r="O8" s="1053"/>
    </row>
    <row r="9" spans="1:15" s="530" customFormat="1" ht="12.75" customHeight="1">
      <c r="A9" s="570"/>
      <c r="B9" s="887" t="s">
        <v>204</v>
      </c>
      <c r="C9" s="900" t="s">
        <v>257</v>
      </c>
      <c r="D9" s="898" t="s">
        <v>251</v>
      </c>
      <c r="E9" s="900" t="s">
        <v>252</v>
      </c>
      <c r="F9" s="901" t="s">
        <v>253</v>
      </c>
      <c r="G9" s="1085" t="s">
        <v>254</v>
      </c>
      <c r="H9" s="529"/>
      <c r="I9" s="1065" t="s">
        <v>255</v>
      </c>
      <c r="J9" s="851" t="s">
        <v>260</v>
      </c>
      <c r="K9" s="1085" t="s">
        <v>254</v>
      </c>
      <c r="L9" s="529"/>
      <c r="M9" s="754" t="s">
        <v>453</v>
      </c>
      <c r="N9" s="755">
        <v>0.01009</v>
      </c>
      <c r="O9" s="1053"/>
    </row>
    <row r="10" spans="1:15" s="530" customFormat="1" ht="12.75" customHeight="1">
      <c r="A10" s="570"/>
      <c r="B10" s="1090"/>
      <c r="C10" s="897"/>
      <c r="D10" s="899"/>
      <c r="E10" s="897"/>
      <c r="F10" s="902"/>
      <c r="G10" s="1086"/>
      <c r="H10" s="529"/>
      <c r="I10" s="1066"/>
      <c r="J10" s="852"/>
      <c r="K10" s="1086"/>
      <c r="L10" s="529"/>
      <c r="M10" s="754" t="s">
        <v>456</v>
      </c>
      <c r="N10" s="753">
        <v>0.01018</v>
      </c>
      <c r="O10" s="1053"/>
    </row>
    <row r="11" spans="1:15" s="530" customFormat="1" ht="12.75">
      <c r="A11" s="570"/>
      <c r="B11" s="1090"/>
      <c r="C11" s="897"/>
      <c r="D11" s="899"/>
      <c r="E11" s="897"/>
      <c r="F11" s="902"/>
      <c r="G11" s="1086"/>
      <c r="H11" s="529"/>
      <c r="I11" s="1066"/>
      <c r="J11" s="852"/>
      <c r="K11" s="1086"/>
      <c r="L11" s="529"/>
      <c r="M11" s="754" t="s">
        <v>305</v>
      </c>
      <c r="N11" s="752">
        <f>SUM(N9:N10)</f>
        <v>0.02027</v>
      </c>
      <c r="O11" s="1053"/>
    </row>
    <row r="12" spans="1:15" s="88" customFormat="1" ht="78" customHeight="1">
      <c r="A12" s="570"/>
      <c r="B12" s="1091"/>
      <c r="C12" s="1004"/>
      <c r="D12" s="1005"/>
      <c r="E12" s="1004"/>
      <c r="F12" s="1032"/>
      <c r="G12" s="1087"/>
      <c r="H12" s="529"/>
      <c r="I12" s="1067"/>
      <c r="J12" s="1027"/>
      <c r="K12" s="1087"/>
      <c r="L12" s="529"/>
      <c r="M12" s="1063" t="s">
        <v>418</v>
      </c>
      <c r="N12" s="1064"/>
      <c r="O12" s="1053"/>
    </row>
    <row r="13" spans="1:15" s="88" customFormat="1" ht="12.75" customHeight="1">
      <c r="A13" s="570"/>
      <c r="B13" s="867" t="s">
        <v>231</v>
      </c>
      <c r="C13" s="874"/>
      <c r="D13" s="874"/>
      <c r="E13" s="874"/>
      <c r="F13" s="874"/>
      <c r="G13" s="874"/>
      <c r="H13" s="529"/>
      <c r="I13" s="531"/>
      <c r="J13" s="531"/>
      <c r="K13" s="532"/>
      <c r="L13" s="529"/>
      <c r="M13" s="528"/>
      <c r="N13" s="595"/>
      <c r="O13" s="1053"/>
    </row>
    <row r="14" spans="1:15" s="88" customFormat="1" ht="12.75" customHeight="1">
      <c r="A14" s="571"/>
      <c r="B14" s="109" t="s">
        <v>205</v>
      </c>
      <c r="C14" s="82"/>
      <c r="D14" s="384"/>
      <c r="E14" s="123">
        <f>+D14-C14</f>
        <v>0</v>
      </c>
      <c r="F14" s="385">
        <f>IF(+C14+D14=0,0,(IF(AND(+C14=0,D14&gt;0),1,(IF(AND(+C14&gt;0,D14=0),-1,+C14/+D14-1)))))</f>
        <v>0</v>
      </c>
      <c r="G14" s="533"/>
      <c r="H14" s="386"/>
      <c r="I14" s="387">
        <f>+'Provider Total Budget by Serv'!J17+'Provider Total Budget by Serv'!J29</f>
        <v>0</v>
      </c>
      <c r="J14" s="388">
        <f>IF(I14+C14=0,0,(IF(AND(I14=0,C14&gt;0),-1,(IF(AND(I14&gt;0,C14=0),1,+I14/C14-1)))))</f>
        <v>0</v>
      </c>
      <c r="K14" s="534"/>
      <c r="L14" s="386"/>
      <c r="M14" s="1057"/>
      <c r="N14" s="1058"/>
      <c r="O14" s="1053"/>
    </row>
    <row r="15" spans="1:15" s="88" customFormat="1" ht="12.75" customHeight="1">
      <c r="A15" s="571"/>
      <c r="B15" s="110" t="s">
        <v>206</v>
      </c>
      <c r="C15" s="84"/>
      <c r="D15" s="390"/>
      <c r="E15" s="391">
        <f>+D15-C15</f>
        <v>0</v>
      </c>
      <c r="F15" s="392">
        <f>IF(+C15+D15=0,0,(IF(AND(+C15=0,D15&gt;0),1,(IF(AND(+C15&gt;0,D15=0),-1,+C15/+D15-1)))))</f>
        <v>0</v>
      </c>
      <c r="G15" s="535"/>
      <c r="H15" s="358"/>
      <c r="I15" s="192">
        <f>+'Provider Total Budget by Serv'!J36</f>
        <v>0</v>
      </c>
      <c r="J15" s="388">
        <f>IF(I15+C15=0,0,(IF(AND(I15=0,C15&gt;0),-1,(IF(AND(I15&gt;0,C15=0),1,+I15/C15-1)))))</f>
        <v>0</v>
      </c>
      <c r="K15" s="95"/>
      <c r="L15" s="358"/>
      <c r="M15" s="1059"/>
      <c r="N15" s="1060"/>
      <c r="O15" s="1053"/>
    </row>
    <row r="16" spans="1:15" s="88" customFormat="1" ht="12.75" customHeight="1">
      <c r="A16" s="571"/>
      <c r="B16" s="110" t="s">
        <v>1</v>
      </c>
      <c r="C16" s="90">
        <f>SUM(C14:C15)</f>
        <v>0</v>
      </c>
      <c r="D16" s="393">
        <f>SUM(D14:D15)</f>
        <v>0</v>
      </c>
      <c r="E16" s="123">
        <f>+D16-C16</f>
        <v>0</v>
      </c>
      <c r="F16" s="394">
        <f>IF(+C16+D16=0,0,(IF(AND(+C16=0,D16&gt;0),1,(IF(AND(+C16&gt;0,D16=0),-1,+C16/+D16-1)))))</f>
        <v>0</v>
      </c>
      <c r="G16" s="536">
        <f>IF(AND(C16&gt;0,C$80&gt;0),+C16/C$80,0)</f>
        <v>0</v>
      </c>
      <c r="H16" s="358"/>
      <c r="I16" s="193">
        <f>SUM(I14:I15)</f>
        <v>0</v>
      </c>
      <c r="J16" s="537">
        <f>IF(I16+C16=0,0,(IF(AND(I16=0,C16&gt;0),-1,(IF(AND(I16&gt;0,C16=0),1,+I16/C16-1)))))</f>
        <v>0</v>
      </c>
      <c r="K16" s="538">
        <f>IF(AND(I16&gt;0,I$80&gt;0),+I16/I$80,0)</f>
        <v>0</v>
      </c>
      <c r="L16" s="358"/>
      <c r="M16" s="1061"/>
      <c r="N16" s="1062"/>
      <c r="O16" s="1053"/>
    </row>
    <row r="17" spans="1:15" s="88" customFormat="1" ht="12.75" customHeight="1">
      <c r="A17" s="570"/>
      <c r="B17" s="781" t="s">
        <v>238</v>
      </c>
      <c r="C17" s="781"/>
      <c r="D17" s="781"/>
      <c r="E17" s="781"/>
      <c r="F17" s="781"/>
      <c r="G17" s="867"/>
      <c r="H17" s="358"/>
      <c r="I17" s="531"/>
      <c r="J17" s="531"/>
      <c r="K17" s="532"/>
      <c r="L17" s="358"/>
      <c r="M17" s="674"/>
      <c r="N17" s="675"/>
      <c r="O17" s="1053"/>
    </row>
    <row r="18" spans="1:15" s="88" customFormat="1" ht="12.75" customHeight="1">
      <c r="A18" s="571"/>
      <c r="B18" s="108" t="s">
        <v>205</v>
      </c>
      <c r="C18" s="82"/>
      <c r="D18" s="401"/>
      <c r="E18" s="123">
        <f>+D18-C18</f>
        <v>0</v>
      </c>
      <c r="F18" s="385">
        <f>IF(+C18+D18=0,0,(IF(AND(+C18=0,D18&gt;0),1,(IF(AND(+C18&gt;0,D18=0),-1,+C18/+D18-1)))))</f>
        <v>0</v>
      </c>
      <c r="G18" s="539"/>
      <c r="H18" s="358"/>
      <c r="I18" s="611"/>
      <c r="J18" s="230"/>
      <c r="K18" s="96"/>
      <c r="L18" s="358"/>
      <c r="M18" s="1057"/>
      <c r="N18" s="1058"/>
      <c r="O18" s="1053"/>
    </row>
    <row r="19" spans="1:15" s="88" customFormat="1" ht="12.75" customHeight="1">
      <c r="A19" s="571"/>
      <c r="B19" s="109" t="s">
        <v>206</v>
      </c>
      <c r="C19" s="83"/>
      <c r="D19" s="403"/>
      <c r="E19" s="123">
        <f>+D19-C19</f>
        <v>0</v>
      </c>
      <c r="F19" s="385">
        <f>IF(+C19+D19=0,0,(IF(AND(+C19=0,D19&gt;0),1,(IF(AND(+C19&gt;0,D19=0),-1,+C19/+D19-1)))))</f>
        <v>0</v>
      </c>
      <c r="G19" s="125"/>
      <c r="H19" s="358"/>
      <c r="I19" s="576"/>
      <c r="J19" s="204"/>
      <c r="K19" s="97"/>
      <c r="L19" s="358"/>
      <c r="M19" s="1059"/>
      <c r="N19" s="1060"/>
      <c r="O19" s="1053"/>
    </row>
    <row r="20" spans="1:15" s="88" customFormat="1" ht="12.75" customHeight="1">
      <c r="A20" s="571"/>
      <c r="B20" s="109" t="s">
        <v>209</v>
      </c>
      <c r="C20" s="83"/>
      <c r="D20" s="403"/>
      <c r="E20" s="123">
        <f>+D20-C20</f>
        <v>0</v>
      </c>
      <c r="F20" s="385">
        <f>IF(+C20+D20=0,0,(IF(AND(+C20=0,D20&gt;0),1,(IF(AND(+C20&gt;0,D20=0),-1,+C20/+D20-1)))))</f>
        <v>0</v>
      </c>
      <c r="G20" s="125"/>
      <c r="H20" s="358"/>
      <c r="I20" s="576"/>
      <c r="J20" s="204"/>
      <c r="K20" s="97"/>
      <c r="L20" s="358"/>
      <c r="M20" s="1059"/>
      <c r="N20" s="1060"/>
      <c r="O20" s="1053"/>
    </row>
    <row r="21" spans="1:15" s="88" customFormat="1" ht="12.75" customHeight="1">
      <c r="A21" s="571"/>
      <c r="B21" s="110" t="s">
        <v>207</v>
      </c>
      <c r="C21" s="84"/>
      <c r="D21" s="390"/>
      <c r="E21" s="391">
        <f>+D21-C21</f>
        <v>0</v>
      </c>
      <c r="F21" s="404">
        <f>IF(+C21+D21=0,0,(IF(AND(+C21=0,D21&gt;0),1,(IF(AND(+C21&gt;0,D21=0),-1,+C21/+D21-1)))))</f>
        <v>0</v>
      </c>
      <c r="G21" s="535"/>
      <c r="H21" s="358"/>
      <c r="I21" s="612"/>
      <c r="J21" s="205"/>
      <c r="K21" s="95"/>
      <c r="L21" s="358"/>
      <c r="M21" s="1059"/>
      <c r="N21" s="1060"/>
      <c r="O21" s="1053"/>
    </row>
    <row r="22" spans="1:15" s="88" customFormat="1" ht="12.75" customHeight="1">
      <c r="A22" s="571"/>
      <c r="B22" s="110" t="s">
        <v>1</v>
      </c>
      <c r="C22" s="90">
        <f>SUM(C18:C21)</f>
        <v>0</v>
      </c>
      <c r="D22" s="393">
        <f>SUM(D18:D21)</f>
        <v>0</v>
      </c>
      <c r="E22" s="123">
        <f>+D22-C22</f>
        <v>0</v>
      </c>
      <c r="F22" s="394">
        <f>IF(+C22+D22=0,0,(IF(AND(+C22=0,D22&gt;0),1,(IF(AND(+C22&gt;0,D22=0),-1,+C22/+D22-1)))))</f>
        <v>0</v>
      </c>
      <c r="G22" s="535">
        <f>IF(AND(C22&gt;0,C$80&gt;0),+C22/C$80,0)</f>
        <v>0</v>
      </c>
      <c r="H22" s="358"/>
      <c r="I22" s="193">
        <f>SUM(I18:I21)</f>
        <v>0</v>
      </c>
      <c r="J22" s="233"/>
      <c r="K22" s="538">
        <f>IF(AND(I22&gt;0,I$80&gt;0),+I22/I$80,0)</f>
        <v>0</v>
      </c>
      <c r="L22" s="358"/>
      <c r="M22" s="1061"/>
      <c r="N22" s="1062"/>
      <c r="O22" s="1053"/>
    </row>
    <row r="23" spans="1:15" s="88" customFormat="1" ht="12.75" customHeight="1">
      <c r="A23" s="570"/>
      <c r="B23" s="781" t="s">
        <v>232</v>
      </c>
      <c r="C23" s="781"/>
      <c r="D23" s="781"/>
      <c r="E23" s="781"/>
      <c r="F23" s="781"/>
      <c r="G23" s="867"/>
      <c r="H23" s="358"/>
      <c r="I23" s="531"/>
      <c r="J23" s="531"/>
      <c r="K23" s="532"/>
      <c r="L23" s="358"/>
      <c r="M23" s="674"/>
      <c r="N23" s="675"/>
      <c r="O23" s="1053"/>
    </row>
    <row r="24" spans="1:15" s="88" customFormat="1" ht="12.75" customHeight="1">
      <c r="A24" s="571"/>
      <c r="B24" s="109" t="s">
        <v>207</v>
      </c>
      <c r="C24" s="82"/>
      <c r="D24" s="405"/>
      <c r="E24" s="123">
        <f>+D24-C24</f>
        <v>0</v>
      </c>
      <c r="F24" s="124">
        <f>IF(+C24+D24=0,0,(IF(AND(+C24=0,D24&gt;0),1,(IF(AND(+C24&gt;0,D24=0),-1,+C24/+D24-1)))))</f>
        <v>0</v>
      </c>
      <c r="G24" s="539"/>
      <c r="H24" s="358"/>
      <c r="I24" s="191">
        <f>+'Provider Total Budget by Serv'!J43</f>
        <v>0</v>
      </c>
      <c r="J24" s="388">
        <f>IF(I24+C24=0,0,(IF(AND(I24=0,C24&gt;0),-1,(IF(AND(I24&gt;0,C24=0),1,+I24/C24-1)))))</f>
        <v>0</v>
      </c>
      <c r="K24" s="231"/>
      <c r="L24" s="358"/>
      <c r="M24" s="1057"/>
      <c r="N24" s="1058"/>
      <c r="O24" s="1053"/>
    </row>
    <row r="25" spans="1:15" s="88" customFormat="1" ht="12.75" customHeight="1">
      <c r="A25" s="571"/>
      <c r="B25" s="109" t="s">
        <v>208</v>
      </c>
      <c r="C25" s="83"/>
      <c r="D25" s="122"/>
      <c r="E25" s="123">
        <f>+D25-C25</f>
        <v>0</v>
      </c>
      <c r="F25" s="124">
        <f>IF(+C25+D25=0,0,(IF(AND(+C25=0,D25&gt;0),1,(IF(AND(+C25&gt;0,D25=0),-1,+C25/+D25-1)))))</f>
        <v>0</v>
      </c>
      <c r="G25" s="125"/>
      <c r="H25" s="358"/>
      <c r="I25" s="576">
        <f>+'Provider Total Budget by Serv'!J48</f>
        <v>0</v>
      </c>
      <c r="J25" s="388">
        <f>IF(I25+C25=0,0,(IF(AND(I25=0,C25&gt;0),-1,(IF(AND(I25&gt;0,C25=0),1,+I25/C25-1)))))</f>
        <v>0</v>
      </c>
      <c r="K25" s="98"/>
      <c r="L25" s="358"/>
      <c r="M25" s="1059"/>
      <c r="N25" s="1060"/>
      <c r="O25" s="1053"/>
    </row>
    <row r="26" spans="1:15" s="88" customFormat="1" ht="12.75" customHeight="1">
      <c r="A26" s="571"/>
      <c r="B26" s="110" t="s">
        <v>209</v>
      </c>
      <c r="C26" s="84"/>
      <c r="D26" s="390"/>
      <c r="E26" s="391">
        <f>+D26-C26</f>
        <v>0</v>
      </c>
      <c r="F26" s="392">
        <f>IF(+C26+D26=0,0,(IF(AND(+C26=0,D26&gt;0),1,(IF(AND(+C26&gt;0,D26=0),-1,+C26/+D26-1)))))</f>
        <v>0</v>
      </c>
      <c r="G26" s="535"/>
      <c r="H26" s="358"/>
      <c r="I26" s="192">
        <f>+'Provider Total Budget by Serv'!J53</f>
        <v>0</v>
      </c>
      <c r="J26" s="388">
        <f>IF(I26+C26=0,0,(IF(AND(I26=0,C26&gt;0),-1,(IF(AND(I26&gt;0,C26=0),1,+I26/C26-1)))))</f>
        <v>0</v>
      </c>
      <c r="K26" s="232"/>
      <c r="L26" s="358"/>
      <c r="M26" s="1059"/>
      <c r="N26" s="1060"/>
      <c r="O26" s="1053"/>
    </row>
    <row r="27" spans="1:15" s="88" customFormat="1" ht="12.75" customHeight="1">
      <c r="A27" s="571"/>
      <c r="B27" s="110" t="s">
        <v>1</v>
      </c>
      <c r="C27" s="90">
        <f>SUM(C24:C26)</f>
        <v>0</v>
      </c>
      <c r="D27" s="91">
        <f>SUM(D24:D26)</f>
        <v>0</v>
      </c>
      <c r="E27" s="123">
        <f>+D27-C27</f>
        <v>0</v>
      </c>
      <c r="F27" s="394">
        <f>IF(+C27+D27=0,0,(IF(AND(+C27=0,D27&gt;0),1,(IF(AND(+C27&gt;0,D27=0),-1,+C27/+D27-1)))))</f>
        <v>0</v>
      </c>
      <c r="G27" s="535">
        <f>IF(AND(C27&gt;0,C$80&gt;0),+C27/C$80,0)</f>
        <v>0</v>
      </c>
      <c r="H27" s="358"/>
      <c r="I27" s="193">
        <f>SUM(I24:I26)</f>
        <v>0</v>
      </c>
      <c r="J27" s="537">
        <f>IF(I27+C27=0,0,(IF(AND(I27=0,C27&gt;0),-1,(IF(AND(I27&gt;0,C27=0),1,+I27/C27-1)))))</f>
        <v>0</v>
      </c>
      <c r="K27" s="538">
        <f>IF(AND(I27&gt;0,I$80&gt;0),+I27/I$80,0)</f>
        <v>0</v>
      </c>
      <c r="L27" s="358"/>
      <c r="M27" s="1061"/>
      <c r="N27" s="1062"/>
      <c r="O27" s="1053"/>
    </row>
    <row r="28" spans="1:15" s="88" customFormat="1" ht="12.75" customHeight="1">
      <c r="A28" s="570"/>
      <c r="B28" s="781" t="s">
        <v>233</v>
      </c>
      <c r="C28" s="781"/>
      <c r="D28" s="781"/>
      <c r="E28" s="781"/>
      <c r="F28" s="781"/>
      <c r="G28" s="867"/>
      <c r="H28" s="358"/>
      <c r="I28" s="502"/>
      <c r="J28" s="504"/>
      <c r="K28" s="399"/>
      <c r="L28" s="358"/>
      <c r="M28" s="674"/>
      <c r="N28" s="675"/>
      <c r="O28" s="1053"/>
    </row>
    <row r="29" spans="1:15" s="88" customFormat="1" ht="12.75" customHeight="1">
      <c r="A29" s="571"/>
      <c r="B29" s="109" t="s">
        <v>20</v>
      </c>
      <c r="C29" s="82"/>
      <c r="D29" s="122"/>
      <c r="E29" s="123">
        <f aca="true" t="shared" si="0" ref="E29:E35">+D29-C29</f>
        <v>0</v>
      </c>
      <c r="F29" s="124">
        <f aca="true" t="shared" si="1" ref="F29:F35">IF(+C29+D29=0,0,(IF(AND(+C29=0,D29&gt;0),1,(IF(AND(+C29&gt;0,D29=0),-1,+C29/+D29-1)))))</f>
        <v>0</v>
      </c>
      <c r="G29" s="539"/>
      <c r="H29" s="358"/>
      <c r="I29" s="191">
        <f>+'Provider Total Budget by Serv'!J61</f>
        <v>0</v>
      </c>
      <c r="J29" s="388">
        <f aca="true" t="shared" si="2" ref="J29:J35">IF(I29+C29=0,0,(IF(AND(I29=0,C29&gt;0),-1,(IF(AND(I29&gt;0,C29=0),1,+I29/C29-1)))))</f>
        <v>0</v>
      </c>
      <c r="K29" s="97"/>
      <c r="L29" s="358"/>
      <c r="M29" s="1057"/>
      <c r="N29" s="1058"/>
      <c r="O29" s="1053"/>
    </row>
    <row r="30" spans="1:15" s="88" customFormat="1" ht="12.75" customHeight="1">
      <c r="A30" s="571"/>
      <c r="B30" s="121" t="s">
        <v>244</v>
      </c>
      <c r="C30" s="83"/>
      <c r="D30" s="122"/>
      <c r="E30" s="123">
        <f t="shared" si="0"/>
        <v>0</v>
      </c>
      <c r="F30" s="124">
        <f t="shared" si="1"/>
        <v>0</v>
      </c>
      <c r="G30" s="125"/>
      <c r="H30" s="358"/>
      <c r="I30" s="191">
        <f>+'Provider Total Budget by Serv'!J68</f>
        <v>0</v>
      </c>
      <c r="J30" s="388">
        <f t="shared" si="2"/>
        <v>0</v>
      </c>
      <c r="K30" s="97"/>
      <c r="L30" s="358"/>
      <c r="M30" s="1059"/>
      <c r="N30" s="1060"/>
      <c r="O30" s="1053"/>
    </row>
    <row r="31" spans="1:15" s="88" customFormat="1" ht="12.75" customHeight="1">
      <c r="A31" s="571"/>
      <c r="B31" s="109" t="s">
        <v>21</v>
      </c>
      <c r="C31" s="83"/>
      <c r="D31" s="122"/>
      <c r="E31" s="123">
        <f t="shared" si="0"/>
        <v>0</v>
      </c>
      <c r="F31" s="124">
        <f t="shared" si="1"/>
        <v>0</v>
      </c>
      <c r="G31" s="125"/>
      <c r="H31" s="358"/>
      <c r="I31" s="191">
        <f>+'Provider Total Budget by Serv'!J73</f>
        <v>0</v>
      </c>
      <c r="J31" s="388">
        <f t="shared" si="2"/>
        <v>0</v>
      </c>
      <c r="K31" s="97"/>
      <c r="L31" s="358"/>
      <c r="M31" s="1059"/>
      <c r="N31" s="1060"/>
      <c r="O31" s="1053"/>
    </row>
    <row r="32" spans="1:15" s="88" customFormat="1" ht="12.75" customHeight="1">
      <c r="A32" s="571"/>
      <c r="B32" s="109" t="s">
        <v>216</v>
      </c>
      <c r="C32" s="83"/>
      <c r="D32" s="122"/>
      <c r="E32" s="123">
        <f t="shared" si="0"/>
        <v>0</v>
      </c>
      <c r="F32" s="254">
        <f t="shared" si="1"/>
        <v>0</v>
      </c>
      <c r="G32" s="389"/>
      <c r="H32" s="358"/>
      <c r="I32" s="191">
        <f>+'Provider Total Budget by Serv'!J78</f>
        <v>0</v>
      </c>
      <c r="J32" s="388">
        <f t="shared" si="2"/>
        <v>0</v>
      </c>
      <c r="K32" s="97"/>
      <c r="L32" s="358"/>
      <c r="M32" s="1059"/>
      <c r="N32" s="1060"/>
      <c r="O32" s="1053"/>
    </row>
    <row r="33" spans="1:15" s="88" customFormat="1" ht="12.75" customHeight="1">
      <c r="A33" s="571"/>
      <c r="B33" s="109" t="s">
        <v>217</v>
      </c>
      <c r="C33" s="83"/>
      <c r="D33" s="122"/>
      <c r="E33" s="123">
        <f t="shared" si="0"/>
        <v>0</v>
      </c>
      <c r="F33" s="254">
        <f t="shared" si="1"/>
        <v>0</v>
      </c>
      <c r="G33" s="125"/>
      <c r="H33" s="358"/>
      <c r="I33" s="191">
        <f>+'Provider Total Budget by Serv'!J87</f>
        <v>0</v>
      </c>
      <c r="J33" s="388">
        <f t="shared" si="2"/>
        <v>0</v>
      </c>
      <c r="K33" s="97"/>
      <c r="L33" s="358"/>
      <c r="M33" s="1059"/>
      <c r="N33" s="1060"/>
      <c r="O33" s="1053"/>
    </row>
    <row r="34" spans="1:15" s="88" customFormat="1" ht="12.75" customHeight="1">
      <c r="A34" s="571"/>
      <c r="B34" s="110" t="s">
        <v>220</v>
      </c>
      <c r="C34" s="84"/>
      <c r="D34" s="407"/>
      <c r="E34" s="391">
        <f t="shared" si="0"/>
        <v>0</v>
      </c>
      <c r="F34" s="408">
        <f t="shared" si="1"/>
        <v>0</v>
      </c>
      <c r="G34" s="535"/>
      <c r="H34" s="358"/>
      <c r="I34" s="192">
        <f>+'Provider Total Budget by Serv'!J92</f>
        <v>0</v>
      </c>
      <c r="J34" s="388">
        <f t="shared" si="2"/>
        <v>0</v>
      </c>
      <c r="K34" s="95"/>
      <c r="L34" s="358"/>
      <c r="M34" s="1059"/>
      <c r="N34" s="1060"/>
      <c r="O34" s="1053"/>
    </row>
    <row r="35" spans="1:15" s="88" customFormat="1" ht="12.75" customHeight="1">
      <c r="A35" s="571"/>
      <c r="B35" s="110" t="s">
        <v>1</v>
      </c>
      <c r="C35" s="90">
        <f>SUM(C29:C34)</f>
        <v>0</v>
      </c>
      <c r="D35" s="91">
        <f>SUM(D29:D34)</f>
        <v>0</v>
      </c>
      <c r="E35" s="123">
        <f t="shared" si="0"/>
        <v>0</v>
      </c>
      <c r="F35" s="394">
        <f t="shared" si="1"/>
        <v>0</v>
      </c>
      <c r="G35" s="535">
        <f>IF(AND(C35&gt;0,C$80&gt;0),+C35/C$80,0)</f>
        <v>0</v>
      </c>
      <c r="H35" s="358"/>
      <c r="I35" s="193">
        <f>SUM(I29:I34)</f>
        <v>0</v>
      </c>
      <c r="J35" s="537">
        <f t="shared" si="2"/>
        <v>0</v>
      </c>
      <c r="K35" s="538">
        <f>IF(AND(I35&gt;0,I$80&gt;0),+I35/I$80,0)</f>
        <v>0</v>
      </c>
      <c r="L35" s="358"/>
      <c r="M35" s="1061"/>
      <c r="N35" s="1062"/>
      <c r="O35" s="1053"/>
    </row>
    <row r="36" spans="1:15" s="88" customFormat="1" ht="12.75" customHeight="1">
      <c r="A36" s="570"/>
      <c r="B36" s="781" t="s">
        <v>234</v>
      </c>
      <c r="C36" s="781"/>
      <c r="D36" s="781"/>
      <c r="E36" s="781"/>
      <c r="F36" s="781"/>
      <c r="G36" s="867"/>
      <c r="H36" s="358"/>
      <c r="I36" s="531"/>
      <c r="J36" s="531"/>
      <c r="K36" s="532"/>
      <c r="L36" s="358"/>
      <c r="M36" s="674"/>
      <c r="N36" s="675"/>
      <c r="O36" s="1053"/>
    </row>
    <row r="37" spans="1:15" s="88" customFormat="1" ht="12.75" customHeight="1">
      <c r="A37" s="571"/>
      <c r="B37" s="109" t="s">
        <v>210</v>
      </c>
      <c r="C37" s="82"/>
      <c r="D37" s="122"/>
      <c r="E37" s="123">
        <f>+D37-C37</f>
        <v>0</v>
      </c>
      <c r="F37" s="124">
        <f>IF(+C37+D37=0,0,(IF(AND(+C37=0,D37&gt;0),1,(IF(AND(+C37&gt;0,D37=0),-1,+C37/+D37-1)))))</f>
        <v>0</v>
      </c>
      <c r="G37" s="389"/>
      <c r="H37" s="358"/>
      <c r="I37" s="191">
        <f>+'Provider Total Budget by Serv'!J99</f>
        <v>0</v>
      </c>
      <c r="J37" s="388">
        <f>IF(I37+C37=0,0,(IF(AND(I37=0,C37&gt;0),-1,(IF(AND(I37&gt;0,C37=0),1,+I37/C37-1)))))</f>
        <v>0</v>
      </c>
      <c r="K37" s="97"/>
      <c r="L37" s="358"/>
      <c r="M37" s="1057"/>
      <c r="N37" s="1058"/>
      <c r="O37" s="1053"/>
    </row>
    <row r="38" spans="1:15" s="88" customFormat="1" ht="12.75" customHeight="1">
      <c r="A38" s="571"/>
      <c r="B38" s="109" t="s">
        <v>4</v>
      </c>
      <c r="C38" s="83"/>
      <c r="D38" s="122"/>
      <c r="E38" s="123">
        <f>+D38-C38</f>
        <v>0</v>
      </c>
      <c r="F38" s="124">
        <f>IF(+C38+D38=0,0,(IF(AND(+C38=0,D38&gt;0),1,(IF(AND(+C38&gt;0,D38=0),-1,+C38/+D38-1)))))</f>
        <v>0</v>
      </c>
      <c r="G38" s="125"/>
      <c r="H38" s="358"/>
      <c r="I38" s="191">
        <f>+'Provider Total Budget by Serv'!J104</f>
        <v>0</v>
      </c>
      <c r="J38" s="388">
        <f>IF(I38+C38=0,0,(IF(AND(I38=0,C38&gt;0),-1,(IF(AND(I38&gt;0,C38=0),1,+I38/C38-1)))))</f>
        <v>0</v>
      </c>
      <c r="K38" s="97"/>
      <c r="L38" s="358"/>
      <c r="M38" s="1059"/>
      <c r="N38" s="1060"/>
      <c r="O38" s="1053"/>
    </row>
    <row r="39" spans="1:15" s="88" customFormat="1" ht="12.75" customHeight="1">
      <c r="A39" s="571"/>
      <c r="B39" s="109" t="s">
        <v>211</v>
      </c>
      <c r="C39" s="83"/>
      <c r="D39" s="122"/>
      <c r="E39" s="123">
        <f>+D39-C39</f>
        <v>0</v>
      </c>
      <c r="F39" s="124">
        <f>IF(+C39+D39=0,0,(IF(AND(+C39=0,D39&gt;0),1,(IF(AND(+C39&gt;0,D39=0),-1,+C39/+D39-1)))))</f>
        <v>0</v>
      </c>
      <c r="G39" s="125"/>
      <c r="H39" s="358"/>
      <c r="I39" s="191">
        <f>+'Provider Total Budget by Serv'!J109</f>
        <v>0</v>
      </c>
      <c r="J39" s="388">
        <f>IF(I39+C39=0,0,(IF(AND(I39=0,C39&gt;0),-1,(IF(AND(I39&gt;0,C39=0),1,+I39/C39-1)))))</f>
        <v>0</v>
      </c>
      <c r="K39" s="97"/>
      <c r="L39" s="358"/>
      <c r="M39" s="1059"/>
      <c r="N39" s="1060"/>
      <c r="O39" s="1053"/>
    </row>
    <row r="40" spans="1:15" s="88" customFormat="1" ht="12.75" customHeight="1">
      <c r="A40" s="571"/>
      <c r="B40" s="110" t="s">
        <v>212</v>
      </c>
      <c r="C40" s="84"/>
      <c r="D40" s="390"/>
      <c r="E40" s="391">
        <f>+D40-C40</f>
        <v>0</v>
      </c>
      <c r="F40" s="392">
        <f>IF(+C40+D40=0,0,(IF(AND(+C40=0,D40&gt;0),1,(IF(AND(+C40&gt;0,D40=0),-1,+C40/+D40-1)))))</f>
        <v>0</v>
      </c>
      <c r="G40" s="535"/>
      <c r="H40" s="358"/>
      <c r="I40" s="192">
        <f>+'Provider Total Budget by Serv'!J114</f>
        <v>0</v>
      </c>
      <c r="J40" s="388">
        <f>IF(I40+C40=0,0,(IF(AND(I40=0,C40&gt;0),-1,(IF(AND(I40&gt;0,C40=0),1,+I40/C40-1)))))</f>
        <v>0</v>
      </c>
      <c r="K40" s="95"/>
      <c r="L40" s="358"/>
      <c r="M40" s="1059"/>
      <c r="N40" s="1060"/>
      <c r="O40" s="1053"/>
    </row>
    <row r="41" spans="1:15" s="88" customFormat="1" ht="12.75" customHeight="1">
      <c r="A41" s="571"/>
      <c r="B41" s="110" t="s">
        <v>1</v>
      </c>
      <c r="C41" s="90">
        <f>SUM(C37:C40)</f>
        <v>0</v>
      </c>
      <c r="D41" s="91">
        <f>SUM(D37:D40)</f>
        <v>0</v>
      </c>
      <c r="E41" s="123">
        <f>+D41-C41</f>
        <v>0</v>
      </c>
      <c r="F41" s="394">
        <f>IF(+C41+D41=0,0,(IF(AND(+C41=0,D41&gt;0),1,(IF(AND(+C41&gt;0,D41=0),-1,+C41/+D41-1)))))</f>
        <v>0</v>
      </c>
      <c r="G41" s="535">
        <f>IF(AND(C41&gt;0,C$80&gt;0),+C41/C$80,0)</f>
        <v>0</v>
      </c>
      <c r="H41" s="358"/>
      <c r="I41" s="193">
        <f>SUM(I37:I40)</f>
        <v>0</v>
      </c>
      <c r="J41" s="537">
        <f>IF(I41+C41=0,0,(IF(AND(I41=0,C41&gt;0),-1,(IF(AND(I41&gt;0,C41=0),1,+I41/C41-1)))))</f>
        <v>0</v>
      </c>
      <c r="K41" s="538">
        <f>IF(AND(I41&gt;0,I$80&gt;0),+I41/I$80,0)</f>
        <v>0</v>
      </c>
      <c r="L41" s="358"/>
      <c r="M41" s="1061"/>
      <c r="N41" s="1062"/>
      <c r="O41" s="1053"/>
    </row>
    <row r="42" spans="1:15" s="88" customFormat="1" ht="12.75" customHeight="1">
      <c r="A42" s="570"/>
      <c r="B42" s="781" t="s">
        <v>235</v>
      </c>
      <c r="C42" s="781"/>
      <c r="D42" s="781"/>
      <c r="E42" s="781"/>
      <c r="F42" s="781"/>
      <c r="G42" s="867"/>
      <c r="H42" s="358"/>
      <c r="I42" s="504"/>
      <c r="J42" s="504"/>
      <c r="K42" s="398"/>
      <c r="L42" s="358"/>
      <c r="M42" s="674"/>
      <c r="N42" s="675"/>
      <c r="O42" s="1053"/>
    </row>
    <row r="43" spans="1:15" s="88" customFormat="1" ht="12.75" customHeight="1">
      <c r="A43" s="571"/>
      <c r="B43" s="109" t="s">
        <v>6</v>
      </c>
      <c r="C43" s="82"/>
      <c r="D43" s="122"/>
      <c r="E43" s="123">
        <f aca="true" t="shared" si="3" ref="E43:E52">+D43-C43</f>
        <v>0</v>
      </c>
      <c r="F43" s="124">
        <f aca="true" t="shared" si="4" ref="F43:F52">IF(+C43+D43=0,0,(IF(AND(+C43=0,D43&gt;0),1,(IF(AND(+C43&gt;0,D43=0),-1,+C43/+D43-1)))))</f>
        <v>0</v>
      </c>
      <c r="G43" s="125"/>
      <c r="H43" s="358"/>
      <c r="I43" s="387">
        <f>+'Provider Total Budget by Serv'!J121</f>
        <v>0</v>
      </c>
      <c r="J43" s="388">
        <f aca="true" t="shared" si="5" ref="J43:J52">IF(I43+C43=0,0,(IF(AND(I43=0,C43&gt;0),-1,(IF(AND(I43&gt;0,C43=0),1,+I43/C43-1)))))</f>
        <v>0</v>
      </c>
      <c r="K43" s="97"/>
      <c r="L43" s="358"/>
      <c r="M43" s="1057"/>
      <c r="N43" s="1058"/>
      <c r="O43" s="1053"/>
    </row>
    <row r="44" spans="1:15" s="88" customFormat="1" ht="12.75" customHeight="1">
      <c r="A44" s="571"/>
      <c r="B44" s="109" t="s">
        <v>7</v>
      </c>
      <c r="C44" s="83"/>
      <c r="D44" s="122"/>
      <c r="E44" s="123">
        <f t="shared" si="3"/>
        <v>0</v>
      </c>
      <c r="F44" s="124">
        <f t="shared" si="4"/>
        <v>0</v>
      </c>
      <c r="G44" s="125"/>
      <c r="H44" s="358"/>
      <c r="I44" s="191">
        <f>+'Provider Total Budget by Serv'!J126</f>
        <v>0</v>
      </c>
      <c r="J44" s="388">
        <f t="shared" si="5"/>
        <v>0</v>
      </c>
      <c r="K44" s="97"/>
      <c r="L44" s="358"/>
      <c r="M44" s="1059"/>
      <c r="N44" s="1060"/>
      <c r="O44" s="1053"/>
    </row>
    <row r="45" spans="1:15" s="88" customFormat="1" ht="12.75" customHeight="1">
      <c r="A45" s="571"/>
      <c r="B45" s="109" t="s">
        <v>210</v>
      </c>
      <c r="C45" s="83"/>
      <c r="D45" s="122"/>
      <c r="E45" s="123">
        <f t="shared" si="3"/>
        <v>0</v>
      </c>
      <c r="F45" s="124">
        <f t="shared" si="4"/>
        <v>0</v>
      </c>
      <c r="G45" s="389"/>
      <c r="H45" s="358"/>
      <c r="I45" s="191">
        <f>+'Provider Total Budget by Serv'!J131</f>
        <v>0</v>
      </c>
      <c r="J45" s="388">
        <f t="shared" si="5"/>
        <v>0</v>
      </c>
      <c r="K45" s="97"/>
      <c r="L45" s="358"/>
      <c r="M45" s="1059"/>
      <c r="N45" s="1060"/>
      <c r="O45" s="1053"/>
    </row>
    <row r="46" spans="1:15" s="88" customFormat="1" ht="12.75" customHeight="1">
      <c r="A46" s="571"/>
      <c r="B46" s="109" t="s">
        <v>39</v>
      </c>
      <c r="C46" s="83"/>
      <c r="D46" s="122"/>
      <c r="E46" s="123">
        <f t="shared" si="3"/>
        <v>0</v>
      </c>
      <c r="F46" s="124">
        <f t="shared" si="4"/>
        <v>0</v>
      </c>
      <c r="G46" s="125"/>
      <c r="H46" s="358"/>
      <c r="I46" s="191">
        <f>+'Provider Total Budget by Serv'!J136</f>
        <v>0</v>
      </c>
      <c r="J46" s="388">
        <f t="shared" si="5"/>
        <v>0</v>
      </c>
      <c r="K46" s="97"/>
      <c r="L46" s="358"/>
      <c r="M46" s="1059"/>
      <c r="N46" s="1060"/>
      <c r="O46" s="1053"/>
    </row>
    <row r="47" spans="1:15" s="88" customFormat="1" ht="12.75" customHeight="1">
      <c r="A47" s="571"/>
      <c r="B47" s="109" t="s">
        <v>213</v>
      </c>
      <c r="C47" s="83"/>
      <c r="D47" s="122"/>
      <c r="E47" s="123">
        <f t="shared" si="3"/>
        <v>0</v>
      </c>
      <c r="F47" s="124">
        <f t="shared" si="4"/>
        <v>0</v>
      </c>
      <c r="G47" s="125"/>
      <c r="H47" s="358"/>
      <c r="I47" s="191">
        <f>+'Provider Total Budget by Serv'!J141</f>
        <v>0</v>
      </c>
      <c r="J47" s="388">
        <f t="shared" si="5"/>
        <v>0</v>
      </c>
      <c r="K47" s="97"/>
      <c r="L47" s="358"/>
      <c r="M47" s="1059"/>
      <c r="N47" s="1060"/>
      <c r="O47" s="1053"/>
    </row>
    <row r="48" spans="1:15" s="88" customFormat="1" ht="12.75" customHeight="1">
      <c r="A48" s="571"/>
      <c r="B48" s="109" t="s">
        <v>8</v>
      </c>
      <c r="C48" s="83"/>
      <c r="D48" s="122"/>
      <c r="E48" s="123">
        <f t="shared" si="3"/>
        <v>0</v>
      </c>
      <c r="F48" s="124">
        <f t="shared" si="4"/>
        <v>0</v>
      </c>
      <c r="G48" s="389"/>
      <c r="H48" s="358"/>
      <c r="I48" s="191">
        <f>+'Provider Total Budget by Serv'!J146</f>
        <v>0</v>
      </c>
      <c r="J48" s="388">
        <f t="shared" si="5"/>
        <v>0</v>
      </c>
      <c r="K48" s="97"/>
      <c r="L48" s="358"/>
      <c r="M48" s="1059"/>
      <c r="N48" s="1060"/>
      <c r="O48" s="1053"/>
    </row>
    <row r="49" spans="1:15" s="88" customFormat="1" ht="12.75" customHeight="1">
      <c r="A49" s="571"/>
      <c r="B49" s="109" t="s">
        <v>9</v>
      </c>
      <c r="C49" s="83"/>
      <c r="D49" s="122"/>
      <c r="E49" s="123">
        <f t="shared" si="3"/>
        <v>0</v>
      </c>
      <c r="F49" s="124">
        <f t="shared" si="4"/>
        <v>0</v>
      </c>
      <c r="G49" s="125"/>
      <c r="H49" s="358"/>
      <c r="I49" s="191">
        <f>+'Provider Total Budget by Serv'!J151</f>
        <v>0</v>
      </c>
      <c r="J49" s="388">
        <f t="shared" si="5"/>
        <v>0</v>
      </c>
      <c r="K49" s="97"/>
      <c r="L49" s="358"/>
      <c r="M49" s="1059"/>
      <c r="N49" s="1060"/>
      <c r="O49" s="1053"/>
    </row>
    <row r="50" spans="1:15" s="88" customFormat="1" ht="12.75" customHeight="1">
      <c r="A50" s="571"/>
      <c r="B50" s="109" t="s">
        <v>214</v>
      </c>
      <c r="C50" s="83"/>
      <c r="D50" s="122"/>
      <c r="E50" s="123">
        <f t="shared" si="3"/>
        <v>0</v>
      </c>
      <c r="F50" s="124">
        <f t="shared" si="4"/>
        <v>0</v>
      </c>
      <c r="G50" s="125"/>
      <c r="H50" s="358"/>
      <c r="I50" s="191">
        <f>+'Provider Total Budget by Serv'!J156</f>
        <v>0</v>
      </c>
      <c r="J50" s="388">
        <f t="shared" si="5"/>
        <v>0</v>
      </c>
      <c r="K50" s="97"/>
      <c r="L50" s="358"/>
      <c r="M50" s="1059"/>
      <c r="N50" s="1060"/>
      <c r="O50" s="1053"/>
    </row>
    <row r="51" spans="1:15" s="88" customFormat="1" ht="12.75" customHeight="1">
      <c r="A51" s="571"/>
      <c r="B51" s="110" t="s">
        <v>215</v>
      </c>
      <c r="C51" s="84"/>
      <c r="D51" s="390"/>
      <c r="E51" s="391">
        <f t="shared" si="3"/>
        <v>0</v>
      </c>
      <c r="F51" s="392">
        <f t="shared" si="4"/>
        <v>0</v>
      </c>
      <c r="G51" s="535"/>
      <c r="H51" s="358"/>
      <c r="I51" s="192">
        <f>+'Provider Total Budget by Serv'!J161</f>
        <v>0</v>
      </c>
      <c r="J51" s="388">
        <f t="shared" si="5"/>
        <v>0</v>
      </c>
      <c r="K51" s="95"/>
      <c r="L51" s="358"/>
      <c r="M51" s="1059"/>
      <c r="N51" s="1060"/>
      <c r="O51" s="1053"/>
    </row>
    <row r="52" spans="1:15" s="88" customFormat="1" ht="12.75" customHeight="1">
      <c r="A52" s="571"/>
      <c r="B52" s="110" t="s">
        <v>1</v>
      </c>
      <c r="C52" s="90">
        <f>SUM(C43:C51)</f>
        <v>0</v>
      </c>
      <c r="D52" s="91">
        <f>SUM(D43:D51)</f>
        <v>0</v>
      </c>
      <c r="E52" s="123">
        <f t="shared" si="3"/>
        <v>0</v>
      </c>
      <c r="F52" s="394">
        <f t="shared" si="4"/>
        <v>0</v>
      </c>
      <c r="G52" s="535">
        <f>IF(AND(C52&gt;0,C$80&gt;0),+C52/C$80,0)</f>
        <v>0</v>
      </c>
      <c r="H52" s="358"/>
      <c r="I52" s="193">
        <f>SUM(I43:I51)</f>
        <v>0</v>
      </c>
      <c r="J52" s="537">
        <f t="shared" si="5"/>
        <v>0</v>
      </c>
      <c r="K52" s="538">
        <f>IF(AND(I52&gt;0,I$80&gt;0),+I52/I$80,0)</f>
        <v>0</v>
      </c>
      <c r="L52" s="358"/>
      <c r="M52" s="1061"/>
      <c r="N52" s="1062"/>
      <c r="O52" s="1053"/>
    </row>
    <row r="53" spans="1:15" s="88" customFormat="1" ht="12.75" customHeight="1">
      <c r="A53" s="570"/>
      <c r="B53" s="781" t="s">
        <v>236</v>
      </c>
      <c r="C53" s="781"/>
      <c r="D53" s="781"/>
      <c r="E53" s="781"/>
      <c r="F53" s="781"/>
      <c r="G53" s="867"/>
      <c r="H53" s="358"/>
      <c r="I53" s="531"/>
      <c r="J53" s="531"/>
      <c r="K53" s="532"/>
      <c r="L53" s="358"/>
      <c r="M53" s="674"/>
      <c r="N53" s="675"/>
      <c r="O53" s="1053"/>
    </row>
    <row r="54" spans="1:15" s="88" customFormat="1" ht="12.75" customHeight="1">
      <c r="A54" s="571"/>
      <c r="B54" s="109" t="s">
        <v>27</v>
      </c>
      <c r="C54" s="82"/>
      <c r="D54" s="122"/>
      <c r="E54" s="123">
        <f aca="true" t="shared" si="6" ref="E54:E62">+D54-C54</f>
        <v>0</v>
      </c>
      <c r="F54" s="124">
        <f aca="true" t="shared" si="7" ref="F54:F62">IF(+C54+D54=0,0,(IF(AND(+C54=0,D54&gt;0),1,(IF(AND(+C54&gt;0,D54=0),-1,+C54/+D54-1)))))</f>
        <v>0</v>
      </c>
      <c r="G54" s="540"/>
      <c r="H54" s="358"/>
      <c r="I54" s="191">
        <f>+'Provider Total Budget by Serv'!J168</f>
        <v>0</v>
      </c>
      <c r="J54" s="388">
        <f aca="true" t="shared" si="8" ref="J54:J62">IF(I54+C54=0,0,(IF(AND(I54=0,C54&gt;0),-1,(IF(AND(I54&gt;0,C54=0),1,+I54/C54-1)))))</f>
        <v>0</v>
      </c>
      <c r="K54" s="97"/>
      <c r="L54" s="358"/>
      <c r="M54" s="1069"/>
      <c r="N54" s="1070"/>
      <c r="O54" s="1053"/>
    </row>
    <row r="55" spans="1:15" s="88" customFormat="1" ht="12.75" customHeight="1">
      <c r="A55" s="571"/>
      <c r="B55" s="109" t="s">
        <v>22</v>
      </c>
      <c r="C55" s="83"/>
      <c r="D55" s="122"/>
      <c r="E55" s="123">
        <f t="shared" si="6"/>
        <v>0</v>
      </c>
      <c r="F55" s="124">
        <f t="shared" si="7"/>
        <v>0</v>
      </c>
      <c r="G55" s="241"/>
      <c r="H55" s="358"/>
      <c r="I55" s="191">
        <f>+'Provider Total Budget by Serv'!J173</f>
        <v>0</v>
      </c>
      <c r="J55" s="388">
        <f t="shared" si="8"/>
        <v>0</v>
      </c>
      <c r="K55" s="97"/>
      <c r="L55" s="358"/>
      <c r="M55" s="1059"/>
      <c r="N55" s="1071"/>
      <c r="O55" s="1053"/>
    </row>
    <row r="56" spans="1:15" s="88" customFormat="1" ht="12.75" customHeight="1">
      <c r="A56" s="571"/>
      <c r="B56" s="109" t="s">
        <v>23</v>
      </c>
      <c r="C56" s="83"/>
      <c r="D56" s="122"/>
      <c r="E56" s="123">
        <f t="shared" si="6"/>
        <v>0</v>
      </c>
      <c r="F56" s="124">
        <f t="shared" si="7"/>
        <v>0</v>
      </c>
      <c r="G56" s="241"/>
      <c r="H56" s="358"/>
      <c r="I56" s="191">
        <f>+'Provider Total Budget by Serv'!J178</f>
        <v>0</v>
      </c>
      <c r="J56" s="388">
        <f t="shared" si="8"/>
        <v>0</v>
      </c>
      <c r="K56" s="97"/>
      <c r="L56" s="358"/>
      <c r="M56" s="1059"/>
      <c r="N56" s="1071"/>
      <c r="O56" s="1053"/>
    </row>
    <row r="57" spans="1:15" s="88" customFormat="1" ht="12.75" customHeight="1">
      <c r="A57" s="571"/>
      <c r="B57" s="109" t="s">
        <v>218</v>
      </c>
      <c r="C57" s="83"/>
      <c r="D57" s="122"/>
      <c r="E57" s="123">
        <f t="shared" si="6"/>
        <v>0</v>
      </c>
      <c r="F57" s="124">
        <f t="shared" si="7"/>
        <v>0</v>
      </c>
      <c r="G57" s="241"/>
      <c r="H57" s="358"/>
      <c r="I57" s="191">
        <f>+'Provider Total Budget by Serv'!J183</f>
        <v>0</v>
      </c>
      <c r="J57" s="388">
        <f t="shared" si="8"/>
        <v>0</v>
      </c>
      <c r="K57" s="97"/>
      <c r="L57" s="358"/>
      <c r="M57" s="1059"/>
      <c r="N57" s="1071"/>
      <c r="O57" s="1053"/>
    </row>
    <row r="58" spans="1:15" s="88" customFormat="1" ht="12.75" customHeight="1">
      <c r="A58" s="571"/>
      <c r="B58" s="109" t="s">
        <v>213</v>
      </c>
      <c r="C58" s="83"/>
      <c r="D58" s="122"/>
      <c r="E58" s="123">
        <f t="shared" si="6"/>
        <v>0</v>
      </c>
      <c r="F58" s="124">
        <f t="shared" si="7"/>
        <v>0</v>
      </c>
      <c r="G58" s="241"/>
      <c r="H58" s="358"/>
      <c r="I58" s="191">
        <f>+'Provider Total Budget by Serv'!J188</f>
        <v>0</v>
      </c>
      <c r="J58" s="388">
        <f t="shared" si="8"/>
        <v>0</v>
      </c>
      <c r="K58" s="97"/>
      <c r="L58" s="358"/>
      <c r="M58" s="1059"/>
      <c r="N58" s="1071"/>
      <c r="O58" s="1053"/>
    </row>
    <row r="59" spans="1:15" s="88" customFormat="1" ht="12.75" customHeight="1">
      <c r="A59" s="571"/>
      <c r="B59" s="109" t="s">
        <v>219</v>
      </c>
      <c r="C59" s="83"/>
      <c r="D59" s="122"/>
      <c r="E59" s="123">
        <f t="shared" si="6"/>
        <v>0</v>
      </c>
      <c r="F59" s="124">
        <f t="shared" si="7"/>
        <v>0</v>
      </c>
      <c r="G59" s="125"/>
      <c r="H59" s="358"/>
      <c r="I59" s="191">
        <f>+'Provider Total Budget by Serv'!J193</f>
        <v>0</v>
      </c>
      <c r="J59" s="388">
        <f t="shared" si="8"/>
        <v>0</v>
      </c>
      <c r="K59" s="97"/>
      <c r="L59" s="358"/>
      <c r="M59" s="1059"/>
      <c r="N59" s="1071"/>
      <c r="O59" s="1053"/>
    </row>
    <row r="60" spans="1:15" s="88" customFormat="1" ht="12.75" customHeight="1">
      <c r="A60" s="571"/>
      <c r="B60" s="109" t="s">
        <v>4</v>
      </c>
      <c r="C60" s="83"/>
      <c r="D60" s="122"/>
      <c r="E60" s="123">
        <f t="shared" si="6"/>
        <v>0</v>
      </c>
      <c r="F60" s="124">
        <f t="shared" si="7"/>
        <v>0</v>
      </c>
      <c r="G60" s="125"/>
      <c r="H60" s="358"/>
      <c r="I60" s="191">
        <f>+'Provider Total Budget by Serv'!J198</f>
        <v>0</v>
      </c>
      <c r="J60" s="388">
        <f t="shared" si="8"/>
        <v>0</v>
      </c>
      <c r="K60" s="97"/>
      <c r="L60" s="358"/>
      <c r="M60" s="1059"/>
      <c r="N60" s="1071"/>
      <c r="O60" s="1053"/>
    </row>
    <row r="61" spans="1:15" s="88" customFormat="1" ht="12.75" customHeight="1">
      <c r="A61" s="571"/>
      <c r="B61" s="110" t="s">
        <v>29</v>
      </c>
      <c r="C61" s="84"/>
      <c r="D61" s="390"/>
      <c r="E61" s="391">
        <f t="shared" si="6"/>
        <v>0</v>
      </c>
      <c r="F61" s="392">
        <f t="shared" si="7"/>
        <v>0</v>
      </c>
      <c r="G61" s="535"/>
      <c r="H61" s="358"/>
      <c r="I61" s="192">
        <f>+'Provider Total Budget by Serv'!J203</f>
        <v>0</v>
      </c>
      <c r="J61" s="404">
        <f t="shared" si="8"/>
        <v>0</v>
      </c>
      <c r="K61" s="95"/>
      <c r="L61" s="358"/>
      <c r="M61" s="1059"/>
      <c r="N61" s="1071"/>
      <c r="O61" s="1053"/>
    </row>
    <row r="62" spans="1:15" s="88" customFormat="1" ht="12.75" customHeight="1">
      <c r="A62" s="571"/>
      <c r="B62" s="110" t="s">
        <v>1</v>
      </c>
      <c r="C62" s="90">
        <f>SUM(C54:C61)</f>
        <v>0</v>
      </c>
      <c r="D62" s="91">
        <f>SUM(D54:D61)</f>
        <v>0</v>
      </c>
      <c r="E62" s="123">
        <f t="shared" si="6"/>
        <v>0</v>
      </c>
      <c r="F62" s="394">
        <f t="shared" si="7"/>
        <v>0</v>
      </c>
      <c r="G62" s="535">
        <f>IF(AND(C62&gt;0,C$80&gt;0),+C62/C$80,0)</f>
        <v>0</v>
      </c>
      <c r="H62" s="358"/>
      <c r="I62" s="193">
        <f>SUM(I54:I61)</f>
        <v>0</v>
      </c>
      <c r="J62" s="388">
        <f t="shared" si="8"/>
        <v>0</v>
      </c>
      <c r="K62" s="538">
        <f>IF(AND(I62&gt;0,I$80&gt;0),+I62/I$80,0)</f>
        <v>0</v>
      </c>
      <c r="L62" s="358"/>
      <c r="M62" s="1061"/>
      <c r="N62" s="1072"/>
      <c r="O62" s="1053"/>
    </row>
    <row r="63" spans="1:15" s="88" customFormat="1" ht="12.75" customHeight="1">
      <c r="A63" s="570"/>
      <c r="B63" s="781" t="s">
        <v>237</v>
      </c>
      <c r="C63" s="781"/>
      <c r="D63" s="781"/>
      <c r="E63" s="781"/>
      <c r="F63" s="781"/>
      <c r="G63" s="867"/>
      <c r="H63" s="358"/>
      <c r="I63" s="531"/>
      <c r="J63" s="541"/>
      <c r="K63" s="532"/>
      <c r="L63" s="358"/>
      <c r="M63" s="674"/>
      <c r="N63" s="675"/>
      <c r="O63" s="1053"/>
    </row>
    <row r="64" spans="1:15" s="88" customFormat="1" ht="12.75" customHeight="1">
      <c r="A64" s="571"/>
      <c r="B64" s="109" t="s">
        <v>18</v>
      </c>
      <c r="C64" s="83"/>
      <c r="D64" s="122"/>
      <c r="E64" s="123">
        <f aca="true" t="shared" si="9" ref="E64:E78">+D64-C64</f>
        <v>0</v>
      </c>
      <c r="F64" s="124">
        <f aca="true" t="shared" si="10" ref="F64:F78">IF(+C64+D64=0,0,(IF(AND(+C64=0,D64&gt;0),1,(IF(AND(+C64&gt;0,D64=0),-1,+C64/+D64-1)))))</f>
        <v>0</v>
      </c>
      <c r="G64" s="241"/>
      <c r="H64" s="358"/>
      <c r="I64" s="191">
        <f>+'Provider Total Budget by Serv'!J210</f>
        <v>0</v>
      </c>
      <c r="J64" s="388">
        <f aca="true" t="shared" si="11" ref="J64:J78">IF(I64+C64=0,0,(IF(AND(I64=0,C64&gt;0),-1,(IF(AND(I64&gt;0,C64=0),1,+I64/C64-1)))))</f>
        <v>0</v>
      </c>
      <c r="K64" s="97"/>
      <c r="L64" s="358"/>
      <c r="M64" s="1069"/>
      <c r="N64" s="1070"/>
      <c r="O64" s="1053"/>
    </row>
    <row r="65" spans="1:15" s="88" customFormat="1" ht="12.75" customHeight="1">
      <c r="A65" s="571"/>
      <c r="B65" s="109" t="s">
        <v>10</v>
      </c>
      <c r="C65" s="83"/>
      <c r="D65" s="122"/>
      <c r="E65" s="123">
        <f t="shared" si="9"/>
        <v>0</v>
      </c>
      <c r="F65" s="124">
        <f t="shared" si="10"/>
        <v>0</v>
      </c>
      <c r="G65" s="241"/>
      <c r="H65" s="358"/>
      <c r="I65" s="191">
        <f>+'Provider Total Budget by Serv'!J215</f>
        <v>0</v>
      </c>
      <c r="J65" s="388">
        <f t="shared" si="11"/>
        <v>0</v>
      </c>
      <c r="K65" s="97"/>
      <c r="L65" s="358"/>
      <c r="M65" s="1059"/>
      <c r="N65" s="1071"/>
      <c r="O65" s="1053"/>
    </row>
    <row r="66" spans="1:15" s="88" customFormat="1" ht="12.75" customHeight="1">
      <c r="A66" s="571"/>
      <c r="B66" s="109" t="s">
        <v>11</v>
      </c>
      <c r="C66" s="83"/>
      <c r="D66" s="122"/>
      <c r="E66" s="123">
        <f t="shared" si="9"/>
        <v>0</v>
      </c>
      <c r="F66" s="124">
        <f t="shared" si="10"/>
        <v>0</v>
      </c>
      <c r="G66" s="241"/>
      <c r="H66" s="358"/>
      <c r="I66" s="191">
        <f>+'Provider Total Budget by Serv'!J220</f>
        <v>0</v>
      </c>
      <c r="J66" s="388">
        <f t="shared" si="11"/>
        <v>0</v>
      </c>
      <c r="K66" s="97"/>
      <c r="L66" s="358"/>
      <c r="M66" s="1059"/>
      <c r="N66" s="1071"/>
      <c r="O66" s="1053"/>
    </row>
    <row r="67" spans="1:15" s="88" customFormat="1" ht="12.75" customHeight="1">
      <c r="A67" s="571"/>
      <c r="B67" s="109" t="s">
        <v>12</v>
      </c>
      <c r="C67" s="83"/>
      <c r="D67" s="122"/>
      <c r="E67" s="123">
        <f t="shared" si="9"/>
        <v>0</v>
      </c>
      <c r="F67" s="124">
        <f t="shared" si="10"/>
        <v>0</v>
      </c>
      <c r="G67" s="241"/>
      <c r="H67" s="358"/>
      <c r="I67" s="191">
        <f>+'Provider Total Budget by Serv'!J225</f>
        <v>0</v>
      </c>
      <c r="J67" s="388">
        <f t="shared" si="11"/>
        <v>0</v>
      </c>
      <c r="K67" s="97"/>
      <c r="L67" s="358"/>
      <c r="M67" s="1059"/>
      <c r="N67" s="1071"/>
      <c r="O67" s="1053"/>
    </row>
    <row r="68" spans="1:15" s="88" customFormat="1" ht="12.75" customHeight="1">
      <c r="A68" s="571"/>
      <c r="B68" s="109" t="s">
        <v>19</v>
      </c>
      <c r="C68" s="83"/>
      <c r="D68" s="122"/>
      <c r="E68" s="123">
        <f t="shared" si="9"/>
        <v>0</v>
      </c>
      <c r="F68" s="124">
        <f t="shared" si="10"/>
        <v>0</v>
      </c>
      <c r="G68" s="125"/>
      <c r="H68" s="358"/>
      <c r="I68" s="191">
        <f>+'Provider Total Budget by Serv'!J230</f>
        <v>0</v>
      </c>
      <c r="J68" s="388">
        <f t="shared" si="11"/>
        <v>0</v>
      </c>
      <c r="K68" s="97"/>
      <c r="L68" s="358"/>
      <c r="M68" s="1059"/>
      <c r="N68" s="1071"/>
      <c r="O68" s="1053"/>
    </row>
    <row r="69" spans="1:15" s="88" customFormat="1" ht="12.75" customHeight="1">
      <c r="A69" s="571"/>
      <c r="B69" s="109" t="s">
        <v>13</v>
      </c>
      <c r="C69" s="83"/>
      <c r="D69" s="122"/>
      <c r="E69" s="123">
        <f t="shared" si="9"/>
        <v>0</v>
      </c>
      <c r="F69" s="124">
        <f t="shared" si="10"/>
        <v>0</v>
      </c>
      <c r="G69" s="125"/>
      <c r="H69" s="358"/>
      <c r="I69" s="191">
        <f>+'Provider Total Budget by Serv'!J235</f>
        <v>0</v>
      </c>
      <c r="J69" s="388">
        <f t="shared" si="11"/>
        <v>0</v>
      </c>
      <c r="K69" s="97"/>
      <c r="L69" s="358"/>
      <c r="M69" s="1059"/>
      <c r="N69" s="1071"/>
      <c r="O69" s="1053"/>
    </row>
    <row r="70" spans="1:15" s="88" customFormat="1" ht="12.75" customHeight="1">
      <c r="A70" s="571"/>
      <c r="B70" s="109" t="s">
        <v>14</v>
      </c>
      <c r="C70" s="83"/>
      <c r="D70" s="122"/>
      <c r="E70" s="123">
        <f t="shared" si="9"/>
        <v>0</v>
      </c>
      <c r="F70" s="124">
        <f t="shared" si="10"/>
        <v>0</v>
      </c>
      <c r="G70" s="241"/>
      <c r="H70" s="358"/>
      <c r="I70" s="191">
        <f>+'Provider Total Budget by Serv'!J240</f>
        <v>0</v>
      </c>
      <c r="J70" s="388">
        <f t="shared" si="11"/>
        <v>0</v>
      </c>
      <c r="K70" s="97"/>
      <c r="L70" s="358"/>
      <c r="M70" s="1059"/>
      <c r="N70" s="1071"/>
      <c r="O70" s="1053"/>
    </row>
    <row r="71" spans="1:15" s="88" customFormat="1" ht="12.75" customHeight="1">
      <c r="A71" s="571"/>
      <c r="B71" s="109" t="s">
        <v>15</v>
      </c>
      <c r="C71" s="83"/>
      <c r="D71" s="122"/>
      <c r="E71" s="123">
        <f t="shared" si="9"/>
        <v>0</v>
      </c>
      <c r="F71" s="124">
        <f t="shared" si="10"/>
        <v>0</v>
      </c>
      <c r="G71" s="241"/>
      <c r="H71" s="358"/>
      <c r="I71" s="191">
        <f>+'Provider Total Budget by Serv'!J245</f>
        <v>0</v>
      </c>
      <c r="J71" s="388">
        <f t="shared" si="11"/>
        <v>0</v>
      </c>
      <c r="K71" s="97"/>
      <c r="L71" s="358"/>
      <c r="M71" s="1059"/>
      <c r="N71" s="1071"/>
      <c r="O71" s="1053"/>
    </row>
    <row r="72" spans="1:15" s="88" customFormat="1" ht="12.75" customHeight="1">
      <c r="A72" s="571"/>
      <c r="B72" s="109" t="s">
        <v>16</v>
      </c>
      <c r="C72" s="83"/>
      <c r="D72" s="122"/>
      <c r="E72" s="123">
        <f t="shared" si="9"/>
        <v>0</v>
      </c>
      <c r="F72" s="124">
        <f t="shared" si="10"/>
        <v>0</v>
      </c>
      <c r="G72" s="241"/>
      <c r="H72" s="358"/>
      <c r="I72" s="191">
        <f>+'Provider Total Budget by Serv'!J250</f>
        <v>0</v>
      </c>
      <c r="J72" s="388">
        <f t="shared" si="11"/>
        <v>0</v>
      </c>
      <c r="K72" s="97"/>
      <c r="L72" s="358"/>
      <c r="M72" s="1059"/>
      <c r="N72" s="1071"/>
      <c r="O72" s="1053"/>
    </row>
    <row r="73" spans="1:15" s="88" customFormat="1" ht="12.75" customHeight="1">
      <c r="A73" s="571"/>
      <c r="B73" s="109" t="s">
        <v>24</v>
      </c>
      <c r="C73" s="83"/>
      <c r="D73" s="122"/>
      <c r="E73" s="123">
        <f t="shared" si="9"/>
        <v>0</v>
      </c>
      <c r="F73" s="124">
        <f t="shared" si="10"/>
        <v>0</v>
      </c>
      <c r="G73" s="125"/>
      <c r="H73" s="358"/>
      <c r="I73" s="191">
        <f>+'Provider Total Budget by Serv'!J255</f>
        <v>0</v>
      </c>
      <c r="J73" s="388">
        <f t="shared" si="11"/>
        <v>0</v>
      </c>
      <c r="K73" s="97"/>
      <c r="L73" s="358"/>
      <c r="M73" s="1059"/>
      <c r="N73" s="1071"/>
      <c r="O73" s="1053"/>
    </row>
    <row r="74" spans="1:15" s="88" customFormat="1" ht="12.75" customHeight="1">
      <c r="A74" s="571"/>
      <c r="B74" s="109" t="s">
        <v>25</v>
      </c>
      <c r="C74" s="83"/>
      <c r="D74" s="122"/>
      <c r="E74" s="123">
        <f t="shared" si="9"/>
        <v>0</v>
      </c>
      <c r="F74" s="124">
        <f t="shared" si="10"/>
        <v>0</v>
      </c>
      <c r="G74" s="125"/>
      <c r="H74" s="358"/>
      <c r="I74" s="191">
        <f>+'Provider Total Budget by Serv'!J260</f>
        <v>0</v>
      </c>
      <c r="J74" s="388">
        <f t="shared" si="11"/>
        <v>0</v>
      </c>
      <c r="K74" s="97"/>
      <c r="L74" s="358"/>
      <c r="M74" s="1059"/>
      <c r="N74" s="1071"/>
      <c r="O74" s="1053"/>
    </row>
    <row r="75" spans="1:15" s="88" customFormat="1" ht="12.75" customHeight="1">
      <c r="A75" s="571"/>
      <c r="B75" s="109" t="s">
        <v>109</v>
      </c>
      <c r="C75" s="83"/>
      <c r="D75" s="122"/>
      <c r="E75" s="123">
        <f t="shared" si="9"/>
        <v>0</v>
      </c>
      <c r="F75" s="124">
        <f t="shared" si="10"/>
        <v>0</v>
      </c>
      <c r="G75" s="125"/>
      <c r="H75" s="358"/>
      <c r="I75" s="191">
        <f>+'Provider Total Budget by Serv'!J265</f>
        <v>0</v>
      </c>
      <c r="J75" s="388">
        <f t="shared" si="11"/>
        <v>0</v>
      </c>
      <c r="K75" s="97"/>
      <c r="L75" s="358"/>
      <c r="M75" s="1059"/>
      <c r="N75" s="1071"/>
      <c r="O75" s="1053"/>
    </row>
    <row r="76" spans="1:15" s="88" customFormat="1" ht="12.75" customHeight="1">
      <c r="A76" s="571"/>
      <c r="B76" s="109" t="s">
        <v>17</v>
      </c>
      <c r="C76" s="83"/>
      <c r="D76" s="122"/>
      <c r="E76" s="123">
        <f t="shared" si="9"/>
        <v>0</v>
      </c>
      <c r="F76" s="124">
        <f t="shared" si="10"/>
        <v>0</v>
      </c>
      <c r="G76" s="125"/>
      <c r="H76" s="358"/>
      <c r="I76" s="191">
        <f>+'Provider Total Budget by Serv'!J270</f>
        <v>0</v>
      </c>
      <c r="J76" s="388">
        <f t="shared" si="11"/>
        <v>0</v>
      </c>
      <c r="K76" s="97"/>
      <c r="L76" s="358"/>
      <c r="M76" s="1059"/>
      <c r="N76" s="1071"/>
      <c r="O76" s="1053"/>
    </row>
    <row r="77" spans="1:15" s="88" customFormat="1" ht="12.75" customHeight="1">
      <c r="A77" s="571"/>
      <c r="B77" s="110" t="s">
        <v>108</v>
      </c>
      <c r="C77" s="84"/>
      <c r="D77" s="390"/>
      <c r="E77" s="391">
        <f t="shared" si="9"/>
        <v>0</v>
      </c>
      <c r="F77" s="392">
        <f t="shared" si="10"/>
        <v>0</v>
      </c>
      <c r="G77" s="535"/>
      <c r="H77" s="358"/>
      <c r="I77" s="192">
        <f>+'Provider Total Budget by Serv'!J275</f>
        <v>0</v>
      </c>
      <c r="J77" s="404">
        <f t="shared" si="11"/>
        <v>0</v>
      </c>
      <c r="K77" s="95"/>
      <c r="L77" s="358"/>
      <c r="M77" s="1059"/>
      <c r="N77" s="1071"/>
      <c r="O77" s="1053"/>
    </row>
    <row r="78" spans="1:15" s="88" customFormat="1" ht="12.75" customHeight="1">
      <c r="A78" s="571"/>
      <c r="B78" s="110" t="s">
        <v>1</v>
      </c>
      <c r="C78" s="90">
        <f>SUM(C64:C77)</f>
        <v>0</v>
      </c>
      <c r="D78" s="393">
        <f>SUM(D64:D77)</f>
        <v>0</v>
      </c>
      <c r="E78" s="391">
        <f t="shared" si="9"/>
        <v>0</v>
      </c>
      <c r="F78" s="394">
        <f t="shared" si="10"/>
        <v>0</v>
      </c>
      <c r="G78" s="535">
        <f>IF(AND(C78&gt;0,C$80&gt;0),+C78/C$80,0)</f>
        <v>0</v>
      </c>
      <c r="H78" s="358"/>
      <c r="I78" s="412">
        <f>SUM(I64:I77)</f>
        <v>0</v>
      </c>
      <c r="J78" s="537">
        <f t="shared" si="11"/>
        <v>0</v>
      </c>
      <c r="K78" s="538">
        <f>IF(AND(I78&gt;0,I$80&gt;0),+I78/I$80,0)</f>
        <v>0</v>
      </c>
      <c r="L78" s="358"/>
      <c r="M78" s="1061"/>
      <c r="N78" s="1072"/>
      <c r="O78" s="1053"/>
    </row>
    <row r="79" spans="1:15" s="88" customFormat="1" ht="12.75" customHeight="1">
      <c r="A79" s="570"/>
      <c r="B79" s="797" t="s">
        <v>1</v>
      </c>
      <c r="C79" s="797"/>
      <c r="D79" s="797"/>
      <c r="E79" s="797"/>
      <c r="F79" s="797"/>
      <c r="G79" s="911"/>
      <c r="H79" s="358"/>
      <c r="I79" s="427"/>
      <c r="J79" s="427"/>
      <c r="K79" s="542"/>
      <c r="L79" s="358"/>
      <c r="M79" s="528"/>
      <c r="N79" s="595"/>
      <c r="O79" s="1053"/>
    </row>
    <row r="80" spans="1:15" s="88" customFormat="1" ht="12.75" customHeight="1">
      <c r="A80" s="571"/>
      <c r="B80" s="133" t="s">
        <v>28</v>
      </c>
      <c r="C80" s="92">
        <f>+C16+C22+C27+C35+C41+C52+C62+C78</f>
        <v>0</v>
      </c>
      <c r="D80" s="92">
        <f>+D16+D22+D27+D35+D41+D52+D62+D78</f>
        <v>0</v>
      </c>
      <c r="E80" s="134">
        <f>+D80-C80</f>
        <v>0</v>
      </c>
      <c r="F80" s="181">
        <f>IF(+C80+D80=0,0,(IF(AND(+C80=0,D80&gt;0),1,(IF(AND(+C80&gt;0,D80=0),-1,+C80/+D80-1)))))</f>
        <v>0</v>
      </c>
      <c r="G80" s="249">
        <f>IF(AND(C80&gt;0,C$80&gt;0),+C80/C$80,0)</f>
        <v>0</v>
      </c>
      <c r="H80" s="358"/>
      <c r="I80" s="134">
        <f>+I16+I27+I41+I52+I62+I78+I22+I35</f>
        <v>0</v>
      </c>
      <c r="J80" s="537">
        <f>IF(I80+C80=0,0,(IF(AND(I80=0,C80&gt;0),-1,(IF(AND(I80&gt;0,C80=0),1,+I80/C80-1)))))</f>
        <v>0</v>
      </c>
      <c r="K80" s="538">
        <f>IF(AND(I80&gt;0,I$80&gt;0),+I80/I$80,0)</f>
        <v>0</v>
      </c>
      <c r="L80" s="358"/>
      <c r="M80" s="1077"/>
      <c r="N80" s="1078"/>
      <c r="O80" s="1053"/>
    </row>
    <row r="81" spans="1:15" s="88" customFormat="1" ht="12.75" customHeight="1">
      <c r="A81" s="571"/>
      <c r="B81" s="111" t="s">
        <v>401</v>
      </c>
      <c r="C81" s="112"/>
      <c r="D81" s="245"/>
      <c r="E81" s="248">
        <f>+D81-C81</f>
        <v>0</v>
      </c>
      <c r="F81" s="181">
        <f>IF(+C81+D81=0,0,(IF(AND(+C81=0,D81&gt;0),1,(IF(AND(+C81&gt;0,D81=0),-1,+D81/+C81-1)))))</f>
        <v>0</v>
      </c>
      <c r="G81" s="543"/>
      <c r="H81" s="358"/>
      <c r="I81" s="143" t="s">
        <v>5</v>
      </c>
      <c r="J81" s="143"/>
      <c r="K81" s="544" t="s">
        <v>5</v>
      </c>
      <c r="L81" s="358"/>
      <c r="M81" s="528"/>
      <c r="N81" s="595"/>
      <c r="O81" s="1054"/>
    </row>
    <row r="82" spans="1:15" s="88" customFormat="1" ht="12.75" customHeight="1">
      <c r="A82" s="572"/>
      <c r="B82" s="111" t="s">
        <v>402</v>
      </c>
      <c r="C82" s="92">
        <f>IF(C81=0,0,+C80/C81)</f>
        <v>0</v>
      </c>
      <c r="D82" s="92">
        <f>IF(D81=0,0,+D80/D81)</f>
        <v>0</v>
      </c>
      <c r="E82" s="134">
        <f>IF(E81=0,0,+E80/E81)</f>
        <v>0</v>
      </c>
      <c r="F82" s="181">
        <f>IF(+C82+D82=0,0,(IF(AND(+C82=0,D82&gt;0),1,(IF(AND(+C82&gt;0,D82=0),-1,+D82/+C82-1)))))</f>
        <v>0</v>
      </c>
      <c r="G82" s="143"/>
      <c r="H82" s="358"/>
      <c r="I82" s="577" t="s">
        <v>313</v>
      </c>
      <c r="J82" s="132"/>
      <c r="K82" s="545" t="s">
        <v>277</v>
      </c>
      <c r="L82" s="358"/>
      <c r="M82" s="1077"/>
      <c r="N82" s="1078"/>
      <c r="O82" s="234"/>
    </row>
    <row r="83" spans="1:15" s="88" customFormat="1" ht="12.75" customHeight="1">
      <c r="A83" s="570"/>
      <c r="B83" s="111" t="s">
        <v>403</v>
      </c>
      <c r="C83" s="132"/>
      <c r="D83" s="246"/>
      <c r="E83" s="546"/>
      <c r="F83" s="547"/>
      <c r="G83" s="143"/>
      <c r="H83" s="548"/>
      <c r="I83" s="247">
        <f>+C101</f>
        <v>0</v>
      </c>
      <c r="J83" s="549"/>
      <c r="K83" s="233">
        <f>IF(I83=0,"",+I80/I83)</f>
      </c>
      <c r="L83" s="360"/>
      <c r="M83" s="1077"/>
      <c r="N83" s="1078"/>
      <c r="O83" s="234"/>
    </row>
    <row r="84" spans="1:15" s="88" customFormat="1" ht="12.75" customHeight="1">
      <c r="A84" s="570"/>
      <c r="B84" s="305"/>
      <c r="C84" s="427"/>
      <c r="D84" s="427"/>
      <c r="E84" s="427"/>
      <c r="F84" s="428"/>
      <c r="G84" s="143"/>
      <c r="H84" s="129"/>
      <c r="I84" s="143"/>
      <c r="J84" s="143"/>
      <c r="K84" s="550"/>
      <c r="L84" s="129"/>
      <c r="M84" s="129"/>
      <c r="N84" s="85"/>
      <c r="O84" s="234"/>
    </row>
    <row r="85" spans="1:15" s="88" customFormat="1" ht="12.75" customHeight="1">
      <c r="A85" s="570"/>
      <c r="B85" s="305"/>
      <c r="C85" s="427"/>
      <c r="D85" s="427"/>
      <c r="E85" s="427"/>
      <c r="F85" s="428"/>
      <c r="G85" s="143"/>
      <c r="H85" s="129"/>
      <c r="I85" s="143"/>
      <c r="J85" s="143"/>
      <c r="K85" s="550"/>
      <c r="L85" s="129"/>
      <c r="M85" s="129"/>
      <c r="N85" s="85"/>
      <c r="O85" s="234"/>
    </row>
    <row r="86" spans="1:15" s="88" customFormat="1" ht="12.75" customHeight="1">
      <c r="A86" s="570"/>
      <c r="B86" s="305"/>
      <c r="C86" s="427"/>
      <c r="D86" s="427"/>
      <c r="E86" s="427"/>
      <c r="F86" s="428"/>
      <c r="G86" s="143"/>
      <c r="H86" s="129"/>
      <c r="I86" s="180"/>
      <c r="J86" s="143"/>
      <c r="K86" s="550"/>
      <c r="L86" s="129"/>
      <c r="M86" s="129"/>
      <c r="N86" s="85"/>
      <c r="O86" s="234"/>
    </row>
    <row r="87" spans="1:15" s="88" customFormat="1" ht="12.75" customHeight="1">
      <c r="A87" s="570"/>
      <c r="B87" s="305"/>
      <c r="C87" s="427"/>
      <c r="D87" s="427"/>
      <c r="E87" s="427"/>
      <c r="F87" s="428"/>
      <c r="G87" s="143"/>
      <c r="H87" s="129"/>
      <c r="I87" s="553"/>
      <c r="J87" s="143"/>
      <c r="K87" s="550"/>
      <c r="L87" s="129"/>
      <c r="M87" s="129"/>
      <c r="N87" s="85"/>
      <c r="O87" s="234"/>
    </row>
    <row r="88" spans="1:15" s="88" customFormat="1" ht="12.75" customHeight="1">
      <c r="A88" s="570"/>
      <c r="B88" s="305"/>
      <c r="C88" s="427"/>
      <c r="D88" s="427"/>
      <c r="E88" s="427"/>
      <c r="F88" s="428"/>
      <c r="G88" s="143"/>
      <c r="H88" s="129"/>
      <c r="I88" s="613"/>
      <c r="J88" s="143"/>
      <c r="K88" s="550"/>
      <c r="L88" s="129"/>
      <c r="M88" s="129"/>
      <c r="N88" s="85"/>
      <c r="O88" s="234"/>
    </row>
    <row r="89" spans="1:14" s="88" customFormat="1" ht="12.75" customHeight="1">
      <c r="A89" s="570"/>
      <c r="B89" s="559" t="s">
        <v>66</v>
      </c>
      <c r="C89" s="1073" t="s">
        <v>276</v>
      </c>
      <c r="D89" s="1073"/>
      <c r="E89" s="551"/>
      <c r="F89" s="846" t="s">
        <v>69</v>
      </c>
      <c r="G89" s="848"/>
      <c r="H89" s="1076" t="s">
        <v>68</v>
      </c>
      <c r="I89" s="1076"/>
      <c r="J89" s="552"/>
      <c r="K89" s="552"/>
      <c r="N89" s="129"/>
    </row>
    <row r="90" spans="1:14" s="88" customFormat="1" ht="12.75" customHeight="1">
      <c r="A90" s="570"/>
      <c r="B90" s="750" t="s">
        <v>437</v>
      </c>
      <c r="C90" s="1074"/>
      <c r="D90" s="1074"/>
      <c r="E90" s="85"/>
      <c r="F90" s="1081">
        <f>IF(C90=0,0,'Unit Rate Calculation PA'!L24)</f>
        <v>0</v>
      </c>
      <c r="G90" s="1082"/>
      <c r="H90" s="1075">
        <f>+C90*F90</f>
        <v>0</v>
      </c>
      <c r="I90" s="1075"/>
      <c r="J90" s="553"/>
      <c r="K90" s="553"/>
      <c r="N90" s="129"/>
    </row>
    <row r="91" spans="1:14" s="88" customFormat="1" ht="12.75" customHeight="1">
      <c r="A91" s="565"/>
      <c r="B91" s="750" t="s">
        <v>438</v>
      </c>
      <c r="C91" s="1074"/>
      <c r="D91" s="1074"/>
      <c r="E91" s="85"/>
      <c r="F91" s="1081">
        <f>IF(C91=0,0,'Unit Rate Calculation PA'!$L$31)</f>
        <v>0</v>
      </c>
      <c r="G91" s="1082"/>
      <c r="H91" s="1075">
        <f aca="true" t="shared" si="12" ref="H91:H100">+C91*F91</f>
        <v>0</v>
      </c>
      <c r="I91" s="1075"/>
      <c r="N91" s="129"/>
    </row>
    <row r="92" spans="1:15" s="88" customFormat="1" ht="12.75" customHeight="1">
      <c r="A92" s="565"/>
      <c r="B92" s="750" t="s">
        <v>439</v>
      </c>
      <c r="C92" s="1079"/>
      <c r="D92" s="1074"/>
      <c r="E92" s="85"/>
      <c r="F92" s="1081">
        <f>IF(C92=0,0,'Unit Rate Calculation PA'!$L$16)</f>
        <v>0</v>
      </c>
      <c r="G92" s="1082"/>
      <c r="H92" s="1075">
        <f t="shared" si="12"/>
        <v>0</v>
      </c>
      <c r="I92" s="1075"/>
      <c r="N92" s="85"/>
      <c r="O92" s="85"/>
    </row>
    <row r="93" spans="1:15" s="88" customFormat="1" ht="12.75" customHeight="1">
      <c r="A93" s="565"/>
      <c r="B93" s="560" t="s">
        <v>275</v>
      </c>
      <c r="C93" s="1074"/>
      <c r="D93" s="1074"/>
      <c r="E93" s="85"/>
      <c r="F93" s="1081">
        <f>IF(C93=0,0,'Unit Rate Calculation PA'!$L$16)</f>
        <v>0</v>
      </c>
      <c r="G93" s="1082"/>
      <c r="H93" s="1075">
        <f t="shared" si="12"/>
        <v>0</v>
      </c>
      <c r="I93" s="1075"/>
      <c r="N93" s="85"/>
      <c r="O93" s="85"/>
    </row>
    <row r="94" spans="1:15" s="88" customFormat="1" ht="12.75" customHeight="1">
      <c r="A94" s="565"/>
      <c r="B94" s="561" t="s">
        <v>311</v>
      </c>
      <c r="C94" s="1080"/>
      <c r="D94" s="1080"/>
      <c r="E94" s="85"/>
      <c r="F94" s="1081">
        <f>IF(C94=0,0,'Unit Rate Calculation PA'!$L$16)</f>
        <v>0</v>
      </c>
      <c r="G94" s="1082"/>
      <c r="H94" s="1075">
        <f t="shared" si="12"/>
        <v>0</v>
      </c>
      <c r="I94" s="1075"/>
      <c r="N94" s="85"/>
      <c r="O94" s="85"/>
    </row>
    <row r="95" spans="1:15" s="88" customFormat="1" ht="12.75" customHeight="1">
      <c r="A95" s="565"/>
      <c r="B95" s="561" t="s">
        <v>312</v>
      </c>
      <c r="C95" s="1080"/>
      <c r="D95" s="1080"/>
      <c r="E95" s="85"/>
      <c r="F95" s="1081">
        <f>IF(C95=0,0,'Unit Rate Calculation PA'!$L$16)</f>
        <v>0</v>
      </c>
      <c r="G95" s="1082"/>
      <c r="H95" s="1075">
        <f t="shared" si="12"/>
        <v>0</v>
      </c>
      <c r="I95" s="1075"/>
      <c r="N95" s="85"/>
      <c r="O95" s="85"/>
    </row>
    <row r="96" spans="1:15" s="88" customFormat="1" ht="12.75" customHeight="1">
      <c r="A96" s="565"/>
      <c r="B96" s="560" t="s">
        <v>272</v>
      </c>
      <c r="C96" s="1068" t="s">
        <v>72</v>
      </c>
      <c r="D96" s="1068"/>
      <c r="E96" s="85"/>
      <c r="F96" s="1081">
        <f>IF(C96=0,0,'Unit Rate Calculation PA'!$L$23)</f>
        <v>0</v>
      </c>
      <c r="G96" s="1082"/>
      <c r="H96" s="1075">
        <f>+C90*F96</f>
        <v>0</v>
      </c>
      <c r="I96" s="1075"/>
      <c r="N96" s="85"/>
      <c r="O96" s="85"/>
    </row>
    <row r="97" spans="1:15" s="88" customFormat="1" ht="12.75" customHeight="1">
      <c r="A97" s="565"/>
      <c r="B97" s="560" t="s">
        <v>271</v>
      </c>
      <c r="C97" s="1068" t="s">
        <v>72</v>
      </c>
      <c r="D97" s="1068"/>
      <c r="E97" s="85"/>
      <c r="F97" s="1081">
        <f>IF(C97=0,0,'Unit Rate Calculation PA'!$L$30)</f>
        <v>0</v>
      </c>
      <c r="G97" s="1082"/>
      <c r="H97" s="1075">
        <f>+C91*F97</f>
        <v>0</v>
      </c>
      <c r="I97" s="1075"/>
      <c r="N97" s="85"/>
      <c r="O97" s="85"/>
    </row>
    <row r="98" spans="1:15" s="88" customFormat="1" ht="12.75" customHeight="1">
      <c r="A98" s="565"/>
      <c r="B98" s="562" t="s">
        <v>264</v>
      </c>
      <c r="C98" s="1083"/>
      <c r="D98" s="1083"/>
      <c r="E98" s="554"/>
      <c r="F98" s="1081">
        <f>IF(C98=0,0,'Unit Rate Calculation PA'!$L$16)</f>
        <v>0</v>
      </c>
      <c r="G98" s="1082"/>
      <c r="H98" s="1075">
        <f t="shared" si="12"/>
        <v>0</v>
      </c>
      <c r="I98" s="1075"/>
      <c r="N98" s="85"/>
      <c r="O98" s="85"/>
    </row>
    <row r="99" spans="1:15" s="88" customFormat="1" ht="12.75" customHeight="1">
      <c r="A99" s="565"/>
      <c r="B99" s="562" t="s">
        <v>270</v>
      </c>
      <c r="C99" s="1083"/>
      <c r="D99" s="1083"/>
      <c r="E99" s="554"/>
      <c r="F99" s="1081">
        <f>IF(C99=0,0,'Unit Rate Calculation PA'!$L$16)</f>
        <v>0</v>
      </c>
      <c r="G99" s="1082"/>
      <c r="H99" s="1075">
        <f t="shared" si="12"/>
        <v>0</v>
      </c>
      <c r="I99" s="1075"/>
      <c r="N99" s="85"/>
      <c r="O99" s="85"/>
    </row>
    <row r="100" spans="1:15" s="88" customFormat="1" ht="12.75" customHeight="1">
      <c r="A100" s="565"/>
      <c r="B100" s="562" t="s">
        <v>269</v>
      </c>
      <c r="C100" s="1083"/>
      <c r="D100" s="1083"/>
      <c r="E100" s="554"/>
      <c r="F100" s="1081">
        <f>IF(C100=0,0,'Unit Rate Calculation PA'!$L$16)</f>
        <v>0</v>
      </c>
      <c r="G100" s="1082"/>
      <c r="H100" s="1075">
        <f t="shared" si="12"/>
        <v>0</v>
      </c>
      <c r="I100" s="1075"/>
      <c r="N100" s="85"/>
      <c r="O100" s="85"/>
    </row>
    <row r="101" spans="1:15" s="88" customFormat="1" ht="12.75" customHeight="1">
      <c r="A101" s="566"/>
      <c r="B101" s="291" t="s">
        <v>268</v>
      </c>
      <c r="C101" s="1084">
        <f>SUM(C90:C100)</f>
        <v>0</v>
      </c>
      <c r="D101" s="1084"/>
      <c r="E101" s="180"/>
      <c r="F101" s="1081"/>
      <c r="G101" s="1082"/>
      <c r="H101" s="1075">
        <f>SUM(H90:I100)</f>
        <v>0</v>
      </c>
      <c r="I101" s="1075"/>
      <c r="N101" s="85"/>
      <c r="O101" s="85"/>
    </row>
    <row r="102" spans="9:15" s="88" customFormat="1" ht="12.75" customHeight="1">
      <c r="I102" s="461"/>
      <c r="L102" s="85"/>
      <c r="M102" s="85"/>
      <c r="N102" s="85"/>
      <c r="O102" s="85"/>
    </row>
    <row r="103" spans="1:15" s="88" customFormat="1" ht="12.75" customHeight="1">
      <c r="A103" s="447"/>
      <c r="B103" s="447"/>
      <c r="C103" s="234"/>
      <c r="D103" s="234"/>
      <c r="E103" s="234"/>
      <c r="F103" s="234"/>
      <c r="G103" s="234"/>
      <c r="I103" s="461"/>
      <c r="L103" s="107"/>
      <c r="M103" s="107"/>
      <c r="N103" s="107"/>
      <c r="O103" s="107"/>
    </row>
    <row r="104" spans="1:15" s="88" customFormat="1" ht="12.75" customHeight="1">
      <c r="A104" s="447"/>
      <c r="B104" s="447"/>
      <c r="C104" s="180"/>
      <c r="D104" s="180"/>
      <c r="E104" s="180"/>
      <c r="F104" s="180"/>
      <c r="G104" s="556"/>
      <c r="H104" s="452"/>
      <c r="I104" s="461"/>
      <c r="J104" s="143"/>
      <c r="L104" s="452"/>
      <c r="M104" s="452"/>
      <c r="O104" s="99"/>
    </row>
    <row r="105" spans="1:15" s="88" customFormat="1" ht="12.75" customHeight="1">
      <c r="A105" s="447"/>
      <c r="B105" s="447"/>
      <c r="C105" s="180"/>
      <c r="D105" s="180"/>
      <c r="E105" s="180"/>
      <c r="F105" s="180"/>
      <c r="G105" s="556"/>
      <c r="H105" s="452"/>
      <c r="I105" s="461"/>
      <c r="J105" s="143"/>
      <c r="L105" s="452"/>
      <c r="M105" s="452"/>
      <c r="O105" s="99"/>
    </row>
    <row r="106" spans="1:21" s="88" customFormat="1" ht="12.75" customHeight="1">
      <c r="A106" s="447"/>
      <c r="B106" s="447"/>
      <c r="C106" s="447"/>
      <c r="D106" s="447"/>
      <c r="E106" s="447"/>
      <c r="F106" s="447"/>
      <c r="G106" s="143"/>
      <c r="H106" s="452"/>
      <c r="I106" s="461"/>
      <c r="J106" s="131"/>
      <c r="K106" s="131"/>
      <c r="L106" s="557"/>
      <c r="M106" s="557"/>
      <c r="N106" s="431"/>
      <c r="O106" s="557"/>
      <c r="P106" s="433"/>
      <c r="Q106" s="130"/>
      <c r="R106" s="130"/>
      <c r="S106" s="130"/>
      <c r="T106" s="143"/>
      <c r="U106" s="550"/>
    </row>
    <row r="107" spans="17:21" ht="12.75">
      <c r="Q107" s="106"/>
      <c r="U107" s="422"/>
    </row>
    <row r="108" spans="17:21" ht="12.75">
      <c r="Q108" s="85"/>
      <c r="U108" s="85"/>
    </row>
    <row r="109" spans="17:21" ht="12.75">
      <c r="Q109" s="85"/>
      <c r="U109" s="85"/>
    </row>
    <row r="110" spans="17:21" ht="12.75">
      <c r="Q110" s="85"/>
      <c r="U110" s="85"/>
    </row>
    <row r="111" spans="17:21" ht="12.75">
      <c r="Q111" s="85"/>
      <c r="U111" s="85"/>
    </row>
    <row r="112" spans="17:21" ht="12.75">
      <c r="Q112" s="85"/>
      <c r="U112" s="85"/>
    </row>
    <row r="113" spans="17:21" ht="12.75">
      <c r="Q113" s="85"/>
      <c r="U113" s="85"/>
    </row>
    <row r="114" spans="17:21" ht="12.75">
      <c r="Q114" s="85"/>
      <c r="U114" s="85"/>
    </row>
    <row r="115" spans="17:21" ht="12.75">
      <c r="Q115" s="85"/>
      <c r="U115" s="85"/>
    </row>
    <row r="116" spans="17:21" ht="12.75">
      <c r="Q116" s="85"/>
      <c r="U116" s="85"/>
    </row>
    <row r="117" spans="17:21" ht="12.75">
      <c r="Q117" s="85"/>
      <c r="U117" s="85"/>
    </row>
    <row r="118" spans="17:21" ht="12.75">
      <c r="Q118" s="85"/>
      <c r="U118" s="85"/>
    </row>
    <row r="119" spans="17:21" ht="25.5">
      <c r="Q119" s="107"/>
      <c r="U119" s="558" t="s">
        <v>263</v>
      </c>
    </row>
    <row r="120" ht="12.75" customHeight="1"/>
    <row r="121" ht="12.75" customHeight="1"/>
  </sheetData>
  <sheetProtection formatCells="0"/>
  <mergeCells count="85">
    <mergeCell ref="F89:G89"/>
    <mergeCell ref="C2:G2"/>
    <mergeCell ref="C3:G3"/>
    <mergeCell ref="C4:G4"/>
    <mergeCell ref="F90:G90"/>
    <mergeCell ref="B8:G8"/>
    <mergeCell ref="G9:G12"/>
    <mergeCell ref="B9:B12"/>
    <mergeCell ref="C9:C12"/>
    <mergeCell ref="D9:D12"/>
    <mergeCell ref="E9:E12"/>
    <mergeCell ref="B79:G79"/>
    <mergeCell ref="B53:G53"/>
    <mergeCell ref="B17:G17"/>
    <mergeCell ref="B23:G23"/>
    <mergeCell ref="B42:G42"/>
    <mergeCell ref="C5:D5"/>
    <mergeCell ref="F9:F12"/>
    <mergeCell ref="B36:G36"/>
    <mergeCell ref="B63:G63"/>
    <mergeCell ref="B13:G13"/>
    <mergeCell ref="H97:I97"/>
    <mergeCell ref="I8:K8"/>
    <mergeCell ref="H98:I98"/>
    <mergeCell ref="H96:I96"/>
    <mergeCell ref="H91:I91"/>
    <mergeCell ref="H92:I92"/>
    <mergeCell ref="H93:I93"/>
    <mergeCell ref="H94:I94"/>
    <mergeCell ref="K9:K12"/>
    <mergeCell ref="C97:D97"/>
    <mergeCell ref="C98:D98"/>
    <mergeCell ref="C99:D99"/>
    <mergeCell ref="C100:D100"/>
    <mergeCell ref="C101:D101"/>
    <mergeCell ref="I6:K7"/>
    <mergeCell ref="J9:J12"/>
    <mergeCell ref="H99:I99"/>
    <mergeCell ref="H100:I100"/>
    <mergeCell ref="H101:I101"/>
    <mergeCell ref="F93:G93"/>
    <mergeCell ref="F92:G92"/>
    <mergeCell ref="F96:G96"/>
    <mergeCell ref="F94:G94"/>
    <mergeCell ref="F97:G97"/>
    <mergeCell ref="F101:G101"/>
    <mergeCell ref="F98:G98"/>
    <mergeCell ref="F99:G99"/>
    <mergeCell ref="F100:G100"/>
    <mergeCell ref="M83:N83"/>
    <mergeCell ref="M80:N80"/>
    <mergeCell ref="H95:I95"/>
    <mergeCell ref="C91:D91"/>
    <mergeCell ref="C92:D92"/>
    <mergeCell ref="C93:D93"/>
    <mergeCell ref="C94:D94"/>
    <mergeCell ref="C95:D95"/>
    <mergeCell ref="F95:G95"/>
    <mergeCell ref="F91:G91"/>
    <mergeCell ref="M43:N52"/>
    <mergeCell ref="M29:N35"/>
    <mergeCell ref="C96:D96"/>
    <mergeCell ref="M54:N62"/>
    <mergeCell ref="M64:N78"/>
    <mergeCell ref="C89:D89"/>
    <mergeCell ref="C90:D90"/>
    <mergeCell ref="H90:I90"/>
    <mergeCell ref="H89:I89"/>
    <mergeCell ref="M82:N82"/>
    <mergeCell ref="M6:N7"/>
    <mergeCell ref="I5:K5"/>
    <mergeCell ref="D6:G7"/>
    <mergeCell ref="M37:N41"/>
    <mergeCell ref="M12:N12"/>
    <mergeCell ref="I9:I12"/>
    <mergeCell ref="O1:O81"/>
    <mergeCell ref="B1:N1"/>
    <mergeCell ref="B28:G28"/>
    <mergeCell ref="H2:H4"/>
    <mergeCell ref="M14:N16"/>
    <mergeCell ref="M18:N22"/>
    <mergeCell ref="M24:N27"/>
    <mergeCell ref="I2:N4"/>
    <mergeCell ref="B6:B7"/>
    <mergeCell ref="C6:C7"/>
  </mergeCells>
  <dataValidations count="5">
    <dataValidation type="decimal" allowBlank="1" showInputMessage="1" showErrorMessage="1" sqref="C81:D81 D83">
      <formula1>0</formula1>
      <formula2>9999999999.99</formula2>
    </dataValidation>
    <dataValidation type="whole" allowBlank="1" showInputMessage="1" showErrorMessage="1" sqref="C90:D95 C98:D101">
      <formula1>0</formula1>
      <formula2>99999999999</formula2>
    </dataValidation>
    <dataValidation type="decimal" allowBlank="1" showInputMessage="1" showErrorMessage="1" sqref="I20:J21 C43:D51 C54:D61 C29:D34 C24:D26 C20:C21 C64:D77 C37:D40 I24:I26 I29:I34 I37:I40 I43:I51 I54:I61 I64:I77">
      <formula1>0</formula1>
      <formula2>15000000</formula2>
    </dataValidation>
    <dataValidation type="decimal" allowBlank="1" showInputMessage="1" showErrorMessage="1" sqref="D18:D21 K15 C18:C19 C14:D15 I18:K19 I14:I15">
      <formula1>0</formula1>
      <formula2>150000000</formula2>
    </dataValidation>
    <dataValidation allowBlank="1" showErrorMessage="1" promptTitle="Explanation of Variance" prompt="If an explanations was entered on the &quot;Home Delivered Meal Budget&quot; this cost center was updated with the same explanation. If this explanation is not correct for this service and cost center, delete the explanation and enter the correct information. " sqref="M14:N16 M18:N22 M24:N27 M29:N35 M37:N41 M43:N52 M54:N62 M64:N78"/>
  </dataValidations>
  <printOptions/>
  <pageMargins left="0.25" right="0.47" top="0.75" bottom="0.31" header="0.3" footer="0.97"/>
  <pageSetup fitToHeight="0" fitToWidth="1" horizontalDpi="600" verticalDpi="600" orientation="landscape" paperSize="5" scale="72" r:id="rId1"/>
  <rowBreaks count="3" manualBreakCount="3">
    <brk id="6" max="255" man="1"/>
    <brk id="41" max="14" man="1"/>
    <brk id="78" max="14" man="1"/>
  </rowBreaks>
  <colBreaks count="2" manualBreakCount="2">
    <brk id="16" max="65535" man="1"/>
    <brk id="17" max="65535" man="1"/>
  </colBreaks>
</worksheet>
</file>

<file path=xl/worksheets/sheet14.xml><?xml version="1.0" encoding="utf-8"?>
<worksheet xmlns="http://schemas.openxmlformats.org/spreadsheetml/2006/main" xmlns:r="http://schemas.openxmlformats.org/officeDocument/2006/relationships">
  <sheetPr codeName="Sheet13">
    <tabColor theme="9" tint="-0.24997000396251678"/>
    <pageSetUpPr fitToPage="1"/>
  </sheetPr>
  <dimension ref="B1:M118"/>
  <sheetViews>
    <sheetView showGridLines="0" zoomScalePageLayoutView="0" workbookViewId="0" topLeftCell="A1">
      <selection activeCell="E44" sqref="E44"/>
    </sheetView>
  </sheetViews>
  <sheetFormatPr defaultColWidth="9.140625" defaultRowHeight="12.75"/>
  <cols>
    <col min="1" max="1" width="2.8515625" style="2" customWidth="1"/>
    <col min="2" max="2" width="3.8515625" style="2" customWidth="1"/>
    <col min="3" max="3" width="2.57421875" style="2" customWidth="1"/>
    <col min="4" max="4" width="21.140625" style="2" customWidth="1"/>
    <col min="5" max="5" width="9.421875" style="2" customWidth="1"/>
    <col min="6" max="6" width="14.28125" style="2" customWidth="1"/>
    <col min="7" max="7" width="13.7109375" style="2" customWidth="1"/>
    <col min="8" max="8" width="14.8515625" style="2" customWidth="1"/>
    <col min="9" max="9" width="12.140625" style="2" customWidth="1"/>
    <col min="10" max="10" width="9.421875" style="2" customWidth="1"/>
    <col min="11" max="11" width="3.421875" style="2" customWidth="1"/>
    <col min="12" max="12" width="14.8515625" style="2" customWidth="1"/>
    <col min="13" max="14" width="3.28125" style="2" customWidth="1"/>
    <col min="15" max="16384" width="9.140625" style="2" customWidth="1"/>
  </cols>
  <sheetData>
    <row r="1" spans="4:5" ht="12.75">
      <c r="D1" s="1049">
        <f ca="1">NOW()</f>
        <v>44650.39911342593</v>
      </c>
      <c r="E1" s="1049"/>
    </row>
    <row r="2" spans="4:10" ht="12.75">
      <c r="D2" s="367" t="s">
        <v>26</v>
      </c>
      <c r="E2" s="816">
        <f>+'Provider Information'!F6</f>
        <v>0</v>
      </c>
      <c r="F2" s="817"/>
      <c r="G2" s="817"/>
      <c r="H2" s="817"/>
      <c r="I2" s="817"/>
      <c r="J2" s="13"/>
    </row>
    <row r="3" spans="3:12" ht="12.75">
      <c r="C3" s="76"/>
      <c r="D3" s="644" t="s">
        <v>389</v>
      </c>
      <c r="E3" s="816" t="str">
        <f>+'Provider Information'!D21</f>
        <v>Area Agency on Aging of Deep East Texas</v>
      </c>
      <c r="F3" s="816"/>
      <c r="G3" s="816"/>
      <c r="H3" s="816"/>
      <c r="I3" s="816"/>
      <c r="J3" s="816"/>
      <c r="K3" s="235"/>
      <c r="L3" s="235"/>
    </row>
    <row r="4" spans="3:12" ht="15.75">
      <c r="C4" s="1099" t="str">
        <f>+'Provider Total Budget by Serv'!J4</f>
        <v>Participant Assessment</v>
      </c>
      <c r="D4" s="1100"/>
      <c r="E4" s="1100"/>
      <c r="F4" s="1100"/>
      <c r="G4" s="1100"/>
      <c r="H4" s="1100"/>
      <c r="I4" s="1100"/>
      <c r="J4" s="1100"/>
      <c r="K4" s="1100"/>
      <c r="L4" s="1100"/>
    </row>
    <row r="5" spans="3:12" ht="15.75">
      <c r="C5" s="1100" t="s">
        <v>293</v>
      </c>
      <c r="D5" s="1100"/>
      <c r="E5" s="1100"/>
      <c r="F5" s="1100"/>
      <c r="G5" s="1100"/>
      <c r="H5" s="1100"/>
      <c r="I5" s="1100"/>
      <c r="J5" s="1100"/>
      <c r="K5" s="1100"/>
      <c r="L5" s="1100"/>
    </row>
    <row r="6" spans="3:12" ht="12.75">
      <c r="C6" s="775"/>
      <c r="D6" s="775"/>
      <c r="E6" s="775"/>
      <c r="F6" s="775"/>
      <c r="G6" s="775"/>
      <c r="H6" s="775"/>
      <c r="I6" s="775"/>
      <c r="J6" s="775"/>
      <c r="K6" s="775"/>
      <c r="L6" s="775"/>
    </row>
    <row r="7" spans="3:12" ht="12.75">
      <c r="C7" s="942" t="s">
        <v>292</v>
      </c>
      <c r="D7" s="942"/>
      <c r="E7" s="942"/>
      <c r="F7" s="942"/>
      <c r="G7" s="942"/>
      <c r="H7" s="942"/>
      <c r="I7" s="942"/>
      <c r="J7" s="942"/>
      <c r="K7" s="5" t="s">
        <v>0</v>
      </c>
      <c r="L7" s="6">
        <f>+'Participant Assessment Budget'!I80</f>
        <v>0</v>
      </c>
    </row>
    <row r="8" spans="3:12" ht="12.75">
      <c r="C8" s="775"/>
      <c r="D8" s="775"/>
      <c r="E8" s="775"/>
      <c r="F8" s="775"/>
      <c r="G8" s="775"/>
      <c r="H8" s="775"/>
      <c r="I8" s="775"/>
      <c r="J8" s="775"/>
      <c r="K8" s="775"/>
      <c r="L8" s="775"/>
    </row>
    <row r="9" spans="3:12" ht="12.75">
      <c r="C9" s="942" t="s">
        <v>291</v>
      </c>
      <c r="D9" s="942"/>
      <c r="E9" s="942"/>
      <c r="F9" s="942"/>
      <c r="G9" s="942"/>
      <c r="H9" s="942"/>
      <c r="I9" s="942"/>
      <c r="J9" s="942"/>
      <c r="K9" s="942"/>
      <c r="L9" s="942"/>
    </row>
    <row r="10" spans="3:12" ht="25.5">
      <c r="C10" s="1101" t="str">
        <f>+'Participant Assessment Budget'!B90</f>
        <v>HHS OAAA - 10 % Match Required</v>
      </c>
      <c r="D10" s="1101"/>
      <c r="E10" s="139">
        <f>+'Participant Assessment Budget'!C90</f>
        <v>0</v>
      </c>
      <c r="F10" s="81" t="str">
        <f>+'Participant Assessment Budget'!B93</f>
        <v>Program Income </v>
      </c>
      <c r="G10" s="139">
        <f>+'Participant Assessment Budget'!C93</f>
        <v>0</v>
      </c>
      <c r="H10" s="81" t="str">
        <f>+'Participant Assessment Budget'!B98</f>
        <v>Other Sources 6</v>
      </c>
      <c r="I10" s="139">
        <f>+'Participant Assessment Budget'!C98</f>
        <v>0</v>
      </c>
      <c r="J10" s="3"/>
      <c r="K10" s="3"/>
      <c r="L10" s="3"/>
    </row>
    <row r="11" spans="3:12" ht="25.5">
      <c r="C11" s="1096" t="str">
        <f>+'Participant Assessment Budget'!B91</f>
        <v>HHS OAAA - 25 % Match Required</v>
      </c>
      <c r="D11" s="1096"/>
      <c r="E11" s="139">
        <f>+'Participant Assessment Budget'!C91</f>
        <v>0</v>
      </c>
      <c r="F11" s="81" t="str">
        <f>+'Participant Assessment Budget'!B94</f>
        <v>Local Funds </v>
      </c>
      <c r="G11" s="139">
        <f>+'Participant Assessment Budget'!C94</f>
        <v>0</v>
      </c>
      <c r="H11" s="81" t="str">
        <f>+'Participant Assessment Budget'!B99</f>
        <v>Other Sources 7</v>
      </c>
      <c r="I11" s="139">
        <f>+'Participant Assessment Budget'!C99</f>
        <v>0</v>
      </c>
      <c r="J11" s="954"/>
      <c r="K11" s="954"/>
      <c r="L11" s="954"/>
    </row>
    <row r="12" spans="3:12" ht="25.5">
      <c r="C12" s="1096" t="str">
        <f>+'Participant Assessment Budget'!B92</f>
        <v>HHS OAAA - Full Unit Rate </v>
      </c>
      <c r="D12" s="1096"/>
      <c r="E12" s="139">
        <f>+'Participant Assessment Budget'!C92</f>
        <v>0</v>
      </c>
      <c r="F12" s="81" t="str">
        <f>+'Participant Assessment Budget'!B95</f>
        <v>Other Funds </v>
      </c>
      <c r="G12" s="139">
        <f>+'Participant Assessment Budget'!C95</f>
        <v>0</v>
      </c>
      <c r="H12" s="81" t="str">
        <f>+'Participant Assessment Budget'!B100</f>
        <v>Other Sources 8</v>
      </c>
      <c r="I12" s="139">
        <f>+'Participant Assessment Budget'!C100</f>
        <v>0</v>
      </c>
      <c r="J12" s="15"/>
      <c r="K12" s="46" t="s">
        <v>2</v>
      </c>
      <c r="L12" s="9">
        <f>+E10+E11+E12+G10+G11+G12+I10+I11+I12</f>
        <v>0</v>
      </c>
    </row>
    <row r="13" spans="3:12" ht="9.75" customHeight="1">
      <c r="C13" s="775"/>
      <c r="D13" s="775"/>
      <c r="E13" s="775"/>
      <c r="F13" s="775"/>
      <c r="G13" s="775"/>
      <c r="H13" s="775"/>
      <c r="I13" s="775"/>
      <c r="J13" s="775"/>
      <c r="K13" s="775"/>
      <c r="L13" s="775"/>
    </row>
    <row r="14" spans="3:12" ht="12.75">
      <c r="C14" s="957"/>
      <c r="D14" s="957"/>
      <c r="E14" s="957"/>
      <c r="F14" s="957"/>
      <c r="G14" s="957"/>
      <c r="H14" s="957"/>
      <c r="I14" s="957"/>
      <c r="J14" s="957"/>
      <c r="K14" s="957"/>
      <c r="L14" s="957"/>
    </row>
    <row r="15" spans="3:12" ht="6.75" customHeight="1">
      <c r="C15" s="775"/>
      <c r="D15" s="775"/>
      <c r="E15" s="775"/>
      <c r="F15" s="775"/>
      <c r="G15" s="775"/>
      <c r="H15" s="775"/>
      <c r="I15" s="775"/>
      <c r="J15" s="775"/>
      <c r="K15" s="775"/>
      <c r="L15" s="775"/>
    </row>
    <row r="16" spans="3:12" ht="12.75">
      <c r="C16" s="942" t="s">
        <v>290</v>
      </c>
      <c r="D16" s="942"/>
      <c r="E16" s="942"/>
      <c r="F16" s="942"/>
      <c r="G16" s="942"/>
      <c r="H16" s="942"/>
      <c r="I16" s="942"/>
      <c r="J16" s="942"/>
      <c r="K16" s="5" t="s">
        <v>3</v>
      </c>
      <c r="L16" s="45">
        <f>ROUND(IF(L12=0,0,+L7/L12),2)</f>
        <v>0</v>
      </c>
    </row>
    <row r="17" spans="3:12" ht="12.75">
      <c r="C17" s="775"/>
      <c r="D17" s="775"/>
      <c r="E17" s="775"/>
      <c r="F17" s="775"/>
      <c r="G17" s="775"/>
      <c r="H17" s="775"/>
      <c r="I17" s="775"/>
      <c r="J17" s="775"/>
      <c r="K17" s="775"/>
      <c r="L17" s="775"/>
    </row>
    <row r="18" spans="3:12" ht="12.75">
      <c r="C18" s="1095" t="s">
        <v>289</v>
      </c>
      <c r="D18" s="1095"/>
      <c r="E18" s="1095"/>
      <c r="F18" s="1095"/>
      <c r="G18" s="1095"/>
      <c r="H18" s="1095"/>
      <c r="I18" s="1095"/>
      <c r="J18" s="1095"/>
      <c r="K18" s="1095"/>
      <c r="L18" s="1095"/>
    </row>
    <row r="19" spans="3:12" ht="12.75">
      <c r="C19" s="166"/>
      <c r="D19" s="166"/>
      <c r="E19" s="166"/>
      <c r="F19" s="166"/>
      <c r="G19" s="166"/>
      <c r="H19" s="166"/>
      <c r="I19" s="166"/>
      <c r="J19" s="166"/>
      <c r="K19" s="166"/>
      <c r="L19" s="166"/>
    </row>
    <row r="20" spans="2:13" ht="12.75">
      <c r="B20" s="164"/>
      <c r="C20" s="934"/>
      <c r="D20" s="934"/>
      <c r="E20" s="934"/>
      <c r="F20" s="934"/>
      <c r="G20" s="934"/>
      <c r="H20" s="934"/>
      <c r="I20" s="934"/>
      <c r="J20" s="934"/>
      <c r="K20" s="934"/>
      <c r="L20" s="934"/>
      <c r="M20" s="59"/>
    </row>
    <row r="21" spans="2:13" ht="12.75">
      <c r="B21" s="72"/>
      <c r="C21" s="159" t="s">
        <v>288</v>
      </c>
      <c r="D21" s="159"/>
      <c r="E21" s="731">
        <v>0.1</v>
      </c>
      <c r="F21" s="8"/>
      <c r="G21" s="8"/>
      <c r="H21" s="8"/>
      <c r="I21" s="165">
        <f>ROUND(IF(L16="","",+L16*E21),2)</f>
        <v>0</v>
      </c>
      <c r="J21" s="8"/>
      <c r="K21" s="8"/>
      <c r="L21" s="8"/>
      <c r="M21" s="61"/>
    </row>
    <row r="22" spans="2:13" ht="12.75">
      <c r="B22" s="72"/>
      <c r="C22" s="1093" t="s">
        <v>287</v>
      </c>
      <c r="D22" s="1093"/>
      <c r="E22" s="1093"/>
      <c r="F22" s="1093"/>
      <c r="G22" s="1093"/>
      <c r="H22" s="1093"/>
      <c r="I22" s="6">
        <f>ROUND(-J111,2)</f>
        <v>0</v>
      </c>
      <c r="J22" s="8"/>
      <c r="K22" s="8"/>
      <c r="L22" s="8"/>
      <c r="M22" s="61"/>
    </row>
    <row r="23" spans="2:13" ht="12.75">
      <c r="B23" s="72"/>
      <c r="C23" s="1094" t="s">
        <v>286</v>
      </c>
      <c r="D23" s="1094"/>
      <c r="E23" s="1094"/>
      <c r="F23" s="1094"/>
      <c r="G23" s="8"/>
      <c r="H23" s="12"/>
      <c r="I23" s="137"/>
      <c r="J23" s="12"/>
      <c r="K23" s="157" t="s">
        <v>285</v>
      </c>
      <c r="L23" s="6">
        <f>IF(+I21="",0,+I21+I22)</f>
        <v>0</v>
      </c>
      <c r="M23" s="61"/>
    </row>
    <row r="24" spans="2:13" ht="12.75">
      <c r="B24" s="72"/>
      <c r="C24" s="1092" t="s">
        <v>284</v>
      </c>
      <c r="D24" s="1092"/>
      <c r="E24" s="1092"/>
      <c r="F24" s="1092"/>
      <c r="G24" s="8"/>
      <c r="H24" s="8"/>
      <c r="I24" s="136"/>
      <c r="J24" s="158"/>
      <c r="K24" s="157" t="s">
        <v>283</v>
      </c>
      <c r="L24" s="165">
        <f>ROUND(IF(L16&gt;0,L16-L23,0),2)</f>
        <v>0</v>
      </c>
      <c r="M24" s="61"/>
    </row>
    <row r="25" spans="2:13" ht="12.75">
      <c r="B25" s="80"/>
      <c r="C25" s="156"/>
      <c r="D25" s="156"/>
      <c r="E25" s="156"/>
      <c r="F25" s="156"/>
      <c r="G25" s="7"/>
      <c r="H25" s="7"/>
      <c r="I25" s="6"/>
      <c r="J25" s="155"/>
      <c r="K25" s="154"/>
      <c r="L25" s="6"/>
      <c r="M25" s="66"/>
    </row>
    <row r="26" spans="2:13" ht="12.75">
      <c r="B26" s="8"/>
      <c r="C26" s="159"/>
      <c r="D26" s="159"/>
      <c r="E26" s="159"/>
      <c r="F26" s="159"/>
      <c r="G26" s="8"/>
      <c r="H26" s="8"/>
      <c r="I26" s="136"/>
      <c r="J26" s="158"/>
      <c r="K26" s="157"/>
      <c r="L26" s="136"/>
      <c r="M26" s="8"/>
    </row>
    <row r="27" spans="2:13" ht="12.75">
      <c r="B27" s="164"/>
      <c r="C27" s="163"/>
      <c r="D27" s="163"/>
      <c r="E27" s="163"/>
      <c r="F27" s="163"/>
      <c r="G27" s="58"/>
      <c r="H27" s="58"/>
      <c r="I27" s="161"/>
      <c r="J27" s="56"/>
      <c r="K27" s="162"/>
      <c r="L27" s="161"/>
      <c r="M27" s="59"/>
    </row>
    <row r="28" spans="2:13" ht="12.75">
      <c r="B28" s="72"/>
      <c r="C28" s="159" t="s">
        <v>288</v>
      </c>
      <c r="D28" s="159"/>
      <c r="E28" s="731">
        <v>0.25</v>
      </c>
      <c r="F28" s="8"/>
      <c r="G28" s="8"/>
      <c r="H28" s="8"/>
      <c r="I28" s="6">
        <f>ROUND(IF(L16="","",+L16*E28),2)</f>
        <v>0</v>
      </c>
      <c r="J28" s="8"/>
      <c r="K28" s="8"/>
      <c r="L28" s="8"/>
      <c r="M28" s="61"/>
    </row>
    <row r="29" spans="2:13" ht="12.75">
      <c r="B29" s="72"/>
      <c r="C29" s="1093" t="s">
        <v>287</v>
      </c>
      <c r="D29" s="1093"/>
      <c r="E29" s="1093"/>
      <c r="F29" s="1093"/>
      <c r="G29" s="1093"/>
      <c r="H29" s="1093"/>
      <c r="I29" s="6">
        <f>ROUND(-J111,2)</f>
        <v>0</v>
      </c>
      <c r="J29" s="8"/>
      <c r="K29" s="8"/>
      <c r="L29" s="8"/>
      <c r="M29" s="61"/>
    </row>
    <row r="30" spans="2:13" ht="12.75">
      <c r="B30" s="72"/>
      <c r="C30" s="1094" t="s">
        <v>286</v>
      </c>
      <c r="D30" s="1094"/>
      <c r="E30" s="1094"/>
      <c r="F30" s="1094"/>
      <c r="G30" s="8"/>
      <c r="H30" s="12"/>
      <c r="I30" s="137"/>
      <c r="J30" s="12"/>
      <c r="K30" s="157" t="s">
        <v>285</v>
      </c>
      <c r="L30" s="6">
        <f>IF(+I28="",0,+I28+I29)</f>
        <v>0</v>
      </c>
      <c r="M30" s="61"/>
    </row>
    <row r="31" spans="2:13" ht="12.75">
      <c r="B31" s="72"/>
      <c r="C31" s="1092" t="s">
        <v>284</v>
      </c>
      <c r="D31" s="1092"/>
      <c r="E31" s="1092"/>
      <c r="F31" s="1092"/>
      <c r="G31" s="8"/>
      <c r="H31" s="8"/>
      <c r="I31" s="136"/>
      <c r="J31" s="158"/>
      <c r="K31" s="157" t="s">
        <v>283</v>
      </c>
      <c r="L31" s="6">
        <f>ROUND(IF(L16&gt;0,L16-L30,0),2)</f>
        <v>0</v>
      </c>
      <c r="M31" s="61"/>
    </row>
    <row r="32" spans="2:13" ht="12.75">
      <c r="B32" s="80"/>
      <c r="C32" s="156"/>
      <c r="D32" s="156"/>
      <c r="E32" s="156"/>
      <c r="F32" s="156"/>
      <c r="G32" s="7"/>
      <c r="H32" s="7"/>
      <c r="I32" s="6"/>
      <c r="J32" s="155"/>
      <c r="K32" s="154"/>
      <c r="L32" s="6"/>
      <c r="M32" s="66"/>
    </row>
    <row r="33" spans="3:12" ht="12.75">
      <c r="C33" s="4"/>
      <c r="D33" s="4"/>
      <c r="E33" s="4"/>
      <c r="F33" s="4"/>
      <c r="I33" s="136"/>
      <c r="J33" s="76"/>
      <c r="K33" s="5"/>
      <c r="L33" s="136"/>
    </row>
    <row r="35" ht="12.75">
      <c r="C35" s="2" t="s">
        <v>282</v>
      </c>
    </row>
    <row r="37" spans="2:13" ht="13.5" thickBot="1">
      <c r="B37" s="146"/>
      <c r="C37" s="146"/>
      <c r="D37" s="146"/>
      <c r="E37" s="146"/>
      <c r="F37" s="146"/>
      <c r="G37" s="146"/>
      <c r="H37" s="146"/>
      <c r="I37" s="146"/>
      <c r="J37" s="146"/>
      <c r="K37" s="146"/>
      <c r="L37" s="146"/>
      <c r="M37" s="146"/>
    </row>
    <row r="38" spans="2:13" ht="13.5" thickTop="1">
      <c r="B38" s="153"/>
      <c r="M38" s="152"/>
    </row>
    <row r="39" spans="2:13" ht="12.75">
      <c r="B39" s="149"/>
      <c r="C39" s="151" t="s">
        <v>281</v>
      </c>
      <c r="M39" s="148"/>
    </row>
    <row r="40" spans="2:13" ht="12.75">
      <c r="B40" s="149"/>
      <c r="L40" s="150"/>
      <c r="M40" s="148"/>
    </row>
    <row r="41" spans="2:13" ht="12.75">
      <c r="B41" s="149"/>
      <c r="D41" s="45">
        <f>+L16</f>
        <v>0</v>
      </c>
      <c r="F41" s="7"/>
      <c r="H41" s="7"/>
      <c r="L41" s="150"/>
      <c r="M41" s="148"/>
    </row>
    <row r="42" spans="2:13" ht="12.75">
      <c r="B42" s="149"/>
      <c r="F42" s="2" t="s">
        <v>280</v>
      </c>
      <c r="H42" s="3" t="s">
        <v>279</v>
      </c>
      <c r="L42" s="150"/>
      <c r="M42" s="148"/>
    </row>
    <row r="43" spans="2:13" ht="12.75">
      <c r="B43" s="149"/>
      <c r="M43" s="148"/>
    </row>
    <row r="44" spans="2:13" ht="13.5" thickBot="1">
      <c r="B44" s="147"/>
      <c r="C44" s="146"/>
      <c r="D44" s="146"/>
      <c r="E44" s="146"/>
      <c r="F44" s="146"/>
      <c r="G44" s="146"/>
      <c r="H44" s="146"/>
      <c r="I44" s="146"/>
      <c r="J44" s="146"/>
      <c r="K44" s="146"/>
      <c r="L44" s="146"/>
      <c r="M44" s="145"/>
    </row>
    <row r="45" spans="8:12" ht="13.5" thickTop="1">
      <c r="H45" s="3"/>
      <c r="L45" s="136"/>
    </row>
    <row r="48" spans="4:11" ht="39.75" customHeight="1">
      <c r="D48" s="1040">
        <f>IF('Participant Assessment Budget'!C2=0,"",'Participant Assessment Budget'!C2)</f>
      </c>
      <c r="E48" s="1040"/>
      <c r="F48" s="1040"/>
      <c r="H48" s="1038" t="str">
        <f>IF('Participant Assessment Budget'!C3=0,"",'Participant Assessment Budget'!C3)</f>
        <v>Area Agency on Aging of Deep East Texas</v>
      </c>
      <c r="I48" s="1038"/>
      <c r="J48" s="1038"/>
      <c r="K48" s="1038"/>
    </row>
    <row r="49" spans="4:11" ht="12.75">
      <c r="D49" s="934" t="s">
        <v>33</v>
      </c>
      <c r="E49" s="934"/>
      <c r="F49" s="934"/>
      <c r="H49" s="934" t="s">
        <v>37</v>
      </c>
      <c r="I49" s="934"/>
      <c r="J49" s="934"/>
      <c r="K49" s="934"/>
    </row>
    <row r="52" spans="4:11" ht="12.75">
      <c r="D52" s="1037"/>
      <c r="E52" s="939"/>
      <c r="F52" s="939"/>
      <c r="H52" s="1037"/>
      <c r="I52" s="939"/>
      <c r="J52" s="939"/>
      <c r="K52" s="939"/>
    </row>
    <row r="53" spans="4:11" ht="12.75">
      <c r="D53" s="934" t="s">
        <v>35</v>
      </c>
      <c r="E53" s="934"/>
      <c r="F53" s="934"/>
      <c r="H53" s="934" t="s">
        <v>35</v>
      </c>
      <c r="I53" s="934"/>
      <c r="J53" s="934"/>
      <c r="K53" s="934"/>
    </row>
    <row r="55" spans="4:11" ht="12.75">
      <c r="D55" s="1037">
        <f>'Provider Information'!$F$13</f>
        <v>0</v>
      </c>
      <c r="E55" s="939"/>
      <c r="F55" s="939"/>
      <c r="H55" s="1037" t="str">
        <f>'Provider Information'!$D$22</f>
        <v>Tyson Silas</v>
      </c>
      <c r="I55" s="939"/>
      <c r="J55" s="939"/>
      <c r="K55" s="939"/>
    </row>
    <row r="56" spans="4:11" ht="12.75">
      <c r="D56" s="934" t="s">
        <v>34</v>
      </c>
      <c r="E56" s="934"/>
      <c r="F56" s="934"/>
      <c r="H56" s="934" t="s">
        <v>34</v>
      </c>
      <c r="I56" s="934"/>
      <c r="J56" s="934"/>
      <c r="K56" s="934"/>
    </row>
    <row r="59" spans="4:11" ht="12.75">
      <c r="D59" s="1097"/>
      <c r="E59" s="1098"/>
      <c r="F59" s="1098"/>
      <c r="H59" s="1097"/>
      <c r="I59" s="1098"/>
      <c r="J59" s="1098"/>
      <c r="K59" s="1098"/>
    </row>
    <row r="60" spans="4:11" ht="12.75">
      <c r="D60" s="934" t="s">
        <v>36</v>
      </c>
      <c r="E60" s="934"/>
      <c r="F60" s="934"/>
      <c r="H60" s="934" t="s">
        <v>36</v>
      </c>
      <c r="I60" s="934"/>
      <c r="J60" s="934"/>
      <c r="K60" s="934"/>
    </row>
    <row r="102" spans="4:10" ht="12.75">
      <c r="D102" s="943" t="s">
        <v>58</v>
      </c>
      <c r="E102" s="943"/>
      <c r="F102" s="943"/>
      <c r="G102" s="943"/>
      <c r="H102" s="943"/>
      <c r="I102" s="943"/>
      <c r="J102" s="943"/>
    </row>
    <row r="103" spans="4:10" ht="12.75">
      <c r="D103" s="2" t="s">
        <v>59</v>
      </c>
      <c r="J103" s="13">
        <f>+I21</f>
        <v>0</v>
      </c>
    </row>
    <row r="104" spans="4:10" ht="12.75">
      <c r="D104" s="2" t="s">
        <v>278</v>
      </c>
      <c r="J104" s="9">
        <f>IF(E10=0,L12,+E10)</f>
        <v>0</v>
      </c>
    </row>
    <row r="105" spans="4:10" ht="12.75">
      <c r="D105" s="2" t="s">
        <v>60</v>
      </c>
      <c r="E105" s="3"/>
      <c r="J105" s="144">
        <f>+J103*J104</f>
        <v>0</v>
      </c>
    </row>
    <row r="106" spans="4:10" ht="12.75">
      <c r="D106" s="2" t="s">
        <v>61</v>
      </c>
      <c r="J106" s="17">
        <f>+'In-Kind Certification PA'!G25</f>
        <v>0</v>
      </c>
    </row>
    <row r="107" spans="4:10" ht="12.75">
      <c r="D107" s="2" t="s">
        <v>62</v>
      </c>
      <c r="J107" s="15">
        <f>+J105-J106</f>
        <v>0</v>
      </c>
    </row>
    <row r="108" spans="4:10" ht="12.75">
      <c r="D108" s="2" t="s">
        <v>78</v>
      </c>
      <c r="J108" s="9">
        <f>IF(+E10=0,L12,+E10)</f>
        <v>0</v>
      </c>
    </row>
    <row r="109" spans="4:12" ht="12.75">
      <c r="D109" s="2" t="s">
        <v>64</v>
      </c>
      <c r="J109" s="16">
        <f>IF(J107=0,0,+J107/J108)</f>
        <v>0</v>
      </c>
      <c r="K109" s="3"/>
      <c r="L109" s="3"/>
    </row>
    <row r="110" spans="4:10" ht="12.75">
      <c r="D110" s="2" t="s">
        <v>63</v>
      </c>
      <c r="J110" s="17">
        <f>+I21</f>
        <v>0</v>
      </c>
    </row>
    <row r="111" spans="4:10" ht="12.75">
      <c r="D111" s="2" t="s">
        <v>65</v>
      </c>
      <c r="J111" s="18">
        <f>IF(+J109&lt;=0,+J110,+J110-J109)</f>
        <v>0</v>
      </c>
    </row>
    <row r="112" ht="12.75">
      <c r="J112" s="14"/>
    </row>
    <row r="113" ht="12.75">
      <c r="J113" s="15"/>
    </row>
    <row r="114" ht="12.75">
      <c r="J114" s="15"/>
    </row>
    <row r="115" ht="12.75">
      <c r="J115" s="15"/>
    </row>
    <row r="116" ht="12.75">
      <c r="J116" s="15"/>
    </row>
    <row r="117" ht="12.75">
      <c r="J117" s="15"/>
    </row>
    <row r="118" ht="12.75">
      <c r="J118" s="15"/>
    </row>
  </sheetData>
  <sheetProtection sheet="1" formatCells="0"/>
  <mergeCells count="43">
    <mergeCell ref="C8:L8"/>
    <mergeCell ref="C9:L9"/>
    <mergeCell ref="C10:D10"/>
    <mergeCell ref="C12:D12"/>
    <mergeCell ref="C16:J16"/>
    <mergeCell ref="C15:L15"/>
    <mergeCell ref="J11:L11"/>
    <mergeCell ref="D55:F55"/>
    <mergeCell ref="D1:E1"/>
    <mergeCell ref="E3:J3"/>
    <mergeCell ref="C20:L20"/>
    <mergeCell ref="C29:H29"/>
    <mergeCell ref="C17:L17"/>
    <mergeCell ref="C4:L4"/>
    <mergeCell ref="C6:L6"/>
    <mergeCell ref="C7:J7"/>
    <mergeCell ref="C5:L5"/>
    <mergeCell ref="D102:J102"/>
    <mergeCell ref="D53:F53"/>
    <mergeCell ref="H53:K53"/>
    <mergeCell ref="H55:K55"/>
    <mergeCell ref="D56:F56"/>
    <mergeCell ref="H56:K56"/>
    <mergeCell ref="H60:K60"/>
    <mergeCell ref="D59:F59"/>
    <mergeCell ref="H59:K59"/>
    <mergeCell ref="D60:F60"/>
    <mergeCell ref="C13:L13"/>
    <mergeCell ref="H49:K49"/>
    <mergeCell ref="D48:F48"/>
    <mergeCell ref="H48:K48"/>
    <mergeCell ref="C31:F31"/>
    <mergeCell ref="C30:F30"/>
    <mergeCell ref="E2:I2"/>
    <mergeCell ref="D52:F52"/>
    <mergeCell ref="H52:K52"/>
    <mergeCell ref="C24:F24"/>
    <mergeCell ref="C22:H22"/>
    <mergeCell ref="C23:F23"/>
    <mergeCell ref="D49:F49"/>
    <mergeCell ref="C18:L18"/>
    <mergeCell ref="C14:L14"/>
    <mergeCell ref="C11:D11"/>
  </mergeCells>
  <printOptions/>
  <pageMargins left="0.7" right="0.7" top="0.75" bottom="0.75" header="0.3" footer="0.3"/>
  <pageSetup fitToHeight="1" fitToWidth="1" horizontalDpi="600" verticalDpi="600" orientation="portrait" paperSize="5" scale="72" r:id="rId1"/>
</worksheet>
</file>

<file path=xl/worksheets/sheet15.xml><?xml version="1.0" encoding="utf-8"?>
<worksheet xmlns="http://schemas.openxmlformats.org/spreadsheetml/2006/main" xmlns:r="http://schemas.openxmlformats.org/officeDocument/2006/relationships">
  <sheetPr codeName="Sheet14">
    <tabColor theme="9" tint="-0.24997000396251678"/>
    <pageSetUpPr fitToPage="1"/>
  </sheetPr>
  <dimension ref="B1:W47"/>
  <sheetViews>
    <sheetView showGridLines="0" zoomScalePageLayoutView="0" workbookViewId="0" topLeftCell="A1">
      <selection activeCell="B37" sqref="B37"/>
    </sheetView>
  </sheetViews>
  <sheetFormatPr defaultColWidth="9.140625" defaultRowHeight="12.75"/>
  <cols>
    <col min="3" max="3" width="17.421875" style="0" customWidth="1"/>
    <col min="4" max="4" width="4.57421875" style="0" customWidth="1"/>
    <col min="5" max="5" width="19.421875" style="0" customWidth="1"/>
    <col min="6" max="6" width="6.00390625" style="0" customWidth="1"/>
    <col min="7" max="7" width="5.8515625" style="0" customWidth="1"/>
    <col min="8" max="8" width="13.421875" style="0" customWidth="1"/>
    <col min="13" max="13" width="11.8515625" style="0" customWidth="1"/>
  </cols>
  <sheetData>
    <row r="1" spans="3:4" ht="12.75">
      <c r="C1" s="1088">
        <f ca="1">NOW()</f>
        <v>44650.39911342593</v>
      </c>
      <c r="D1" s="1088"/>
    </row>
    <row r="2" spans="2:9" s="2" customFormat="1" ht="15">
      <c r="B2" s="647"/>
      <c r="C2" s="367" t="s">
        <v>26</v>
      </c>
      <c r="D2" s="816">
        <f>+'Provider Information'!F6</f>
        <v>0</v>
      </c>
      <c r="E2" s="817"/>
      <c r="F2" s="817"/>
      <c r="G2" s="817"/>
      <c r="H2" s="817"/>
      <c r="I2" s="13"/>
    </row>
    <row r="3" spans="2:9" s="2" customFormat="1" ht="15">
      <c r="B3" s="642"/>
      <c r="C3" s="644" t="s">
        <v>389</v>
      </c>
      <c r="D3" s="816" t="str">
        <f>+'Provider Information'!D21</f>
        <v>Area Agency on Aging of Deep East Texas</v>
      </c>
      <c r="E3" s="816"/>
      <c r="F3" s="816"/>
      <c r="G3" s="816"/>
      <c r="H3" s="816"/>
      <c r="I3" s="816"/>
    </row>
    <row r="4" spans="2:11" ht="18.75">
      <c r="B4" s="1104" t="str">
        <f>+'Provider Total Budget by Serv'!J4</f>
        <v>Participant Assessment</v>
      </c>
      <c r="C4" s="1105"/>
      <c r="D4" s="1105"/>
      <c r="E4" s="1105"/>
      <c r="F4" s="1105"/>
      <c r="G4" s="1105"/>
      <c r="H4" s="1105"/>
      <c r="I4" s="1105"/>
      <c r="J4" s="1105"/>
      <c r="K4" s="1105"/>
    </row>
    <row r="5" spans="2:23" ht="18.75" customHeight="1">
      <c r="B5" s="1106" t="s">
        <v>79</v>
      </c>
      <c r="C5" s="1106"/>
      <c r="D5" s="1106"/>
      <c r="E5" s="1106"/>
      <c r="F5" s="1106"/>
      <c r="G5" s="1106"/>
      <c r="H5" s="1106"/>
      <c r="I5" s="1106"/>
      <c r="J5" s="1106"/>
      <c r="K5" s="1106"/>
      <c r="L5" s="1"/>
      <c r="M5" s="1"/>
      <c r="N5" s="1"/>
      <c r="O5" s="1"/>
      <c r="P5" s="1"/>
      <c r="Q5" s="1"/>
      <c r="R5" s="1"/>
      <c r="S5" s="1"/>
      <c r="T5" s="1"/>
      <c r="U5" s="1"/>
      <c r="V5" s="1"/>
      <c r="W5" s="1"/>
    </row>
    <row r="6" spans="2:23" ht="18.75">
      <c r="B6" s="929"/>
      <c r="C6" s="929"/>
      <c r="D6" s="929"/>
      <c r="E6" s="929"/>
      <c r="F6" s="142"/>
      <c r="G6" s="930"/>
      <c r="H6" s="931"/>
      <c r="I6" s="931"/>
      <c r="J6" s="931"/>
      <c r="K6" s="931"/>
      <c r="L6" s="1"/>
      <c r="M6" s="1"/>
      <c r="N6" s="1"/>
      <c r="O6" s="1"/>
      <c r="P6" s="1"/>
      <c r="Q6" s="1"/>
      <c r="R6" s="1"/>
      <c r="S6" s="1"/>
      <c r="T6" s="1"/>
      <c r="U6" s="1"/>
      <c r="V6" s="1"/>
      <c r="W6" s="1"/>
    </row>
    <row r="7" spans="2:23" ht="15.75">
      <c r="B7" s="55" t="s">
        <v>80</v>
      </c>
      <c r="C7" s="56"/>
      <c r="D7" s="56"/>
      <c r="E7" s="56"/>
      <c r="F7" s="56"/>
      <c r="G7" s="56"/>
      <c r="H7" s="56"/>
      <c r="I7" s="57"/>
      <c r="J7" s="58"/>
      <c r="K7" s="59"/>
      <c r="L7" s="1"/>
      <c r="M7" s="1"/>
      <c r="N7" s="1"/>
      <c r="O7" s="1"/>
      <c r="P7" s="1"/>
      <c r="Q7" s="1"/>
      <c r="R7" s="1"/>
      <c r="S7" s="1"/>
      <c r="T7" s="1"/>
      <c r="U7" s="1"/>
      <c r="V7" s="1"/>
      <c r="W7" s="1"/>
    </row>
    <row r="8" spans="2:23" ht="15.75">
      <c r="B8" s="60"/>
      <c r="C8" s="8"/>
      <c r="D8" s="8"/>
      <c r="E8" s="8"/>
      <c r="F8" s="8"/>
      <c r="G8" s="8"/>
      <c r="H8" s="8"/>
      <c r="I8" s="8"/>
      <c r="J8" s="8"/>
      <c r="K8" s="61"/>
      <c r="L8" s="1"/>
      <c r="M8" s="1"/>
      <c r="N8" s="1"/>
      <c r="O8" s="1"/>
      <c r="P8" s="1"/>
      <c r="Q8" s="1"/>
      <c r="R8" s="1"/>
      <c r="S8" s="1"/>
      <c r="T8" s="1"/>
      <c r="U8" s="1"/>
      <c r="V8" s="1"/>
      <c r="W8" s="1"/>
    </row>
    <row r="9" spans="2:23" ht="16.5">
      <c r="B9" s="62" t="s">
        <v>81</v>
      </c>
      <c r="C9" s="63" t="s">
        <v>82</v>
      </c>
      <c r="D9" s="8"/>
      <c r="E9" s="8"/>
      <c r="F9" s="8"/>
      <c r="G9" s="8"/>
      <c r="H9" s="8"/>
      <c r="I9" s="8"/>
      <c r="J9" s="8"/>
      <c r="K9" s="61"/>
      <c r="L9" s="1"/>
      <c r="M9" s="1"/>
      <c r="N9" s="1"/>
      <c r="O9" s="1"/>
      <c r="P9" s="1"/>
      <c r="Q9" s="1"/>
      <c r="R9" s="1"/>
      <c r="S9" s="1"/>
      <c r="T9" s="1"/>
      <c r="U9" s="1"/>
      <c r="V9" s="1"/>
      <c r="W9" s="1"/>
    </row>
    <row r="10" spans="2:23" ht="16.5">
      <c r="B10" s="62"/>
      <c r="C10" s="63"/>
      <c r="D10" s="8"/>
      <c r="E10" s="8"/>
      <c r="F10" s="8"/>
      <c r="G10" s="8"/>
      <c r="H10" s="8"/>
      <c r="I10" s="8"/>
      <c r="J10" s="8"/>
      <c r="K10" s="61"/>
      <c r="L10" s="1"/>
      <c r="M10" s="1"/>
      <c r="N10" s="1"/>
      <c r="O10" s="1"/>
      <c r="P10" s="1"/>
      <c r="Q10" s="1"/>
      <c r="R10" s="1"/>
      <c r="S10" s="1"/>
      <c r="T10" s="1"/>
      <c r="U10" s="1"/>
      <c r="V10" s="1"/>
      <c r="W10" s="1"/>
    </row>
    <row r="11" spans="2:23" ht="16.5">
      <c r="B11" s="62" t="s">
        <v>81</v>
      </c>
      <c r="C11" s="63" t="s">
        <v>83</v>
      </c>
      <c r="D11" s="8"/>
      <c r="E11" s="8"/>
      <c r="F11" s="8"/>
      <c r="G11" s="8"/>
      <c r="H11" s="8"/>
      <c r="I11" s="8"/>
      <c r="J11" s="8"/>
      <c r="K11" s="61"/>
      <c r="L11" s="1"/>
      <c r="M11" s="1"/>
      <c r="N11" s="1"/>
      <c r="O11" s="1"/>
      <c r="P11" s="1"/>
      <c r="Q11" s="1"/>
      <c r="R11" s="1"/>
      <c r="S11" s="1"/>
      <c r="T11" s="1"/>
      <c r="U11" s="1"/>
      <c r="V11" s="1"/>
      <c r="W11" s="1"/>
    </row>
    <row r="12" spans="2:23" ht="16.5">
      <c r="B12" s="62"/>
      <c r="C12" s="63"/>
      <c r="D12" s="8"/>
      <c r="E12" s="8"/>
      <c r="F12" s="8"/>
      <c r="G12" s="8"/>
      <c r="H12" s="8"/>
      <c r="I12" s="8"/>
      <c r="J12" s="8"/>
      <c r="K12" s="61"/>
      <c r="L12" s="1"/>
      <c r="M12" s="1"/>
      <c r="N12" s="1"/>
      <c r="O12" s="1"/>
      <c r="P12" s="1"/>
      <c r="Q12" s="1"/>
      <c r="R12" s="1"/>
      <c r="S12" s="1"/>
      <c r="T12" s="1"/>
      <c r="U12" s="1"/>
      <c r="V12" s="1"/>
      <c r="W12" s="1"/>
    </row>
    <row r="13" spans="2:23" ht="16.5">
      <c r="B13" s="62" t="s">
        <v>81</v>
      </c>
      <c r="C13" s="63" t="s">
        <v>84</v>
      </c>
      <c r="D13" s="8"/>
      <c r="E13" s="8"/>
      <c r="F13" s="8"/>
      <c r="G13" s="8"/>
      <c r="H13" s="8"/>
      <c r="I13" s="8"/>
      <c r="J13" s="8"/>
      <c r="K13" s="61"/>
      <c r="L13" s="1"/>
      <c r="M13" s="1"/>
      <c r="N13" s="1"/>
      <c r="O13" s="1"/>
      <c r="P13" s="1"/>
      <c r="Q13" s="1"/>
      <c r="R13" s="1"/>
      <c r="S13" s="1"/>
      <c r="T13" s="1"/>
      <c r="U13" s="1"/>
      <c r="V13" s="1"/>
      <c r="W13" s="1"/>
    </row>
    <row r="14" spans="2:23" ht="16.5">
      <c r="B14" s="62" t="s">
        <v>5</v>
      </c>
      <c r="C14" s="63" t="s">
        <v>85</v>
      </c>
      <c r="D14" s="64"/>
      <c r="E14" s="8"/>
      <c r="F14" s="8"/>
      <c r="G14" s="8"/>
      <c r="H14" s="8"/>
      <c r="I14" s="8"/>
      <c r="J14" s="8"/>
      <c r="K14" s="61"/>
      <c r="L14" s="1"/>
      <c r="M14" s="1"/>
      <c r="N14" s="1"/>
      <c r="O14" s="1"/>
      <c r="P14" s="1"/>
      <c r="Q14" s="1"/>
      <c r="R14" s="1"/>
      <c r="S14" s="1"/>
      <c r="T14" s="1"/>
      <c r="U14" s="1"/>
      <c r="V14" s="1"/>
      <c r="W14" s="1"/>
    </row>
    <row r="15" spans="2:23" ht="16.5">
      <c r="B15" s="62" t="s">
        <v>5</v>
      </c>
      <c r="C15" s="63" t="s">
        <v>86</v>
      </c>
      <c r="D15" s="64"/>
      <c r="E15" s="8"/>
      <c r="F15" s="8"/>
      <c r="G15" s="8"/>
      <c r="H15" s="8"/>
      <c r="I15" s="8"/>
      <c r="J15" s="8"/>
      <c r="K15" s="61"/>
      <c r="L15" s="1"/>
      <c r="M15" s="1"/>
      <c r="N15" s="1"/>
      <c r="O15" s="1"/>
      <c r="P15" s="1"/>
      <c r="Q15" s="1"/>
      <c r="R15" s="1"/>
      <c r="S15" s="1"/>
      <c r="T15" s="1"/>
      <c r="U15" s="1"/>
      <c r="V15" s="1"/>
      <c r="W15" s="1"/>
    </row>
    <row r="16" spans="2:23" ht="16.5">
      <c r="B16" s="62"/>
      <c r="C16" s="63"/>
      <c r="D16" s="8"/>
      <c r="E16" s="8"/>
      <c r="F16" s="8"/>
      <c r="G16" s="8"/>
      <c r="H16" s="8"/>
      <c r="I16" s="8"/>
      <c r="J16" s="8"/>
      <c r="K16" s="61"/>
      <c r="L16" s="1"/>
      <c r="M16" s="1"/>
      <c r="N16" s="1"/>
      <c r="O16" s="1"/>
      <c r="P16" s="1"/>
      <c r="Q16" s="1"/>
      <c r="R16" s="1"/>
      <c r="S16" s="1"/>
      <c r="T16" s="1"/>
      <c r="U16" s="1"/>
      <c r="V16" s="1"/>
      <c r="W16" s="1"/>
    </row>
    <row r="17" spans="2:23" ht="16.5">
      <c r="B17" s="62" t="s">
        <v>81</v>
      </c>
      <c r="C17" s="63" t="s">
        <v>87</v>
      </c>
      <c r="D17" s="8"/>
      <c r="E17" s="8"/>
      <c r="F17" s="8"/>
      <c r="G17" s="8"/>
      <c r="H17" s="8"/>
      <c r="I17" s="8"/>
      <c r="J17" s="8"/>
      <c r="K17" s="61"/>
      <c r="L17" s="1"/>
      <c r="M17" s="1"/>
      <c r="N17" s="1"/>
      <c r="O17" s="1"/>
      <c r="P17" s="1"/>
      <c r="Q17" s="1"/>
      <c r="R17" s="1"/>
      <c r="S17" s="1"/>
      <c r="T17" s="1"/>
      <c r="U17" s="1"/>
      <c r="V17" s="1"/>
      <c r="W17" s="1"/>
    </row>
    <row r="18" spans="2:23" ht="16.5">
      <c r="B18" s="65" t="s">
        <v>5</v>
      </c>
      <c r="C18" s="63" t="s">
        <v>88</v>
      </c>
      <c r="D18" s="64"/>
      <c r="E18" s="8"/>
      <c r="F18" s="8"/>
      <c r="G18" s="8"/>
      <c r="H18" s="8"/>
      <c r="I18" s="8"/>
      <c r="J18" s="8"/>
      <c r="K18" s="61"/>
      <c r="L18" s="1"/>
      <c r="M18" s="1"/>
      <c r="N18" s="1"/>
      <c r="O18" s="1"/>
      <c r="P18" s="1"/>
      <c r="Q18" s="1"/>
      <c r="R18" s="1"/>
      <c r="S18" s="1"/>
      <c r="T18" s="1"/>
      <c r="U18" s="1"/>
      <c r="V18" s="1"/>
      <c r="W18" s="1"/>
    </row>
    <row r="19" spans="2:23" ht="16.5">
      <c r="B19" s="65"/>
      <c r="C19" s="63"/>
      <c r="D19" s="64"/>
      <c r="E19" s="8"/>
      <c r="F19" s="8"/>
      <c r="G19" s="8"/>
      <c r="H19" s="8"/>
      <c r="I19" s="8"/>
      <c r="J19" s="8"/>
      <c r="K19" s="61"/>
      <c r="L19" s="1"/>
      <c r="M19" s="1"/>
      <c r="N19" s="1"/>
      <c r="O19" s="1"/>
      <c r="P19" s="1"/>
      <c r="Q19" s="1"/>
      <c r="R19" s="1"/>
      <c r="S19" s="1"/>
      <c r="T19" s="1"/>
      <c r="U19" s="1"/>
      <c r="V19" s="1"/>
      <c r="W19" s="1"/>
    </row>
    <row r="20" spans="2:23" ht="16.5">
      <c r="B20" s="62" t="s">
        <v>81</v>
      </c>
      <c r="C20" s="63" t="s">
        <v>119</v>
      </c>
      <c r="D20" s="64"/>
      <c r="E20" s="8"/>
      <c r="F20" s="8"/>
      <c r="G20" s="8"/>
      <c r="H20" s="8"/>
      <c r="I20" s="8"/>
      <c r="J20" s="8"/>
      <c r="K20" s="61"/>
      <c r="L20" s="1"/>
      <c r="M20" s="1"/>
      <c r="N20" s="1"/>
      <c r="O20" s="1"/>
      <c r="P20" s="1"/>
      <c r="Q20" s="1"/>
      <c r="R20" s="1"/>
      <c r="S20" s="1"/>
      <c r="T20" s="1"/>
      <c r="U20" s="1"/>
      <c r="V20" s="1"/>
      <c r="W20" s="1"/>
    </row>
    <row r="21" spans="2:23" ht="16.5">
      <c r="B21" s="65" t="s">
        <v>5</v>
      </c>
      <c r="C21" s="63" t="s">
        <v>120</v>
      </c>
      <c r="D21" s="64"/>
      <c r="E21" s="8"/>
      <c r="F21" s="8"/>
      <c r="G21" s="8"/>
      <c r="H21" s="8"/>
      <c r="I21" s="8"/>
      <c r="J21" s="8"/>
      <c r="K21" s="61"/>
      <c r="L21" s="1"/>
      <c r="M21" s="1"/>
      <c r="N21" s="1"/>
      <c r="O21" s="1"/>
      <c r="P21" s="1"/>
      <c r="Q21" s="1"/>
      <c r="R21" s="1"/>
      <c r="S21" s="1"/>
      <c r="T21" s="1"/>
      <c r="U21" s="1"/>
      <c r="V21" s="1"/>
      <c r="W21" s="1"/>
    </row>
    <row r="22" spans="2:23" ht="16.5">
      <c r="B22" s="72"/>
      <c r="C22" s="79" t="s">
        <v>121</v>
      </c>
      <c r="D22" s="8"/>
      <c r="E22" s="8"/>
      <c r="F22" s="8"/>
      <c r="G22" s="8"/>
      <c r="H22" s="8"/>
      <c r="I22" s="8"/>
      <c r="J22" s="8"/>
      <c r="K22" s="61"/>
      <c r="L22" s="1"/>
      <c r="M22" s="1"/>
      <c r="N22" s="1"/>
      <c r="O22" s="1"/>
      <c r="P22" s="1"/>
      <c r="Q22" s="1"/>
      <c r="R22" s="1"/>
      <c r="S22" s="1"/>
      <c r="T22" s="1"/>
      <c r="U22" s="1"/>
      <c r="V22" s="1"/>
      <c r="W22" s="1"/>
    </row>
    <row r="23" spans="2:23" ht="12.75">
      <c r="B23" s="80"/>
      <c r="C23" s="7"/>
      <c r="D23" s="7"/>
      <c r="E23" s="7"/>
      <c r="F23" s="7"/>
      <c r="G23" s="7"/>
      <c r="H23" s="7"/>
      <c r="I23" s="7"/>
      <c r="J23" s="7"/>
      <c r="K23" s="66"/>
      <c r="L23" s="1"/>
      <c r="M23" s="1"/>
      <c r="N23" s="1"/>
      <c r="O23" s="1"/>
      <c r="P23" s="1"/>
      <c r="Q23" s="1"/>
      <c r="R23" s="1"/>
      <c r="S23" s="1"/>
      <c r="T23" s="1"/>
      <c r="U23" s="1"/>
      <c r="V23" s="1"/>
      <c r="W23" s="1"/>
    </row>
    <row r="24" spans="2:23" ht="15.75">
      <c r="B24" s="67"/>
      <c r="C24" s="8"/>
      <c r="D24" s="8"/>
      <c r="E24" s="8"/>
      <c r="F24" s="8"/>
      <c r="G24" s="8"/>
      <c r="H24" s="8"/>
      <c r="I24" s="8"/>
      <c r="J24" s="8"/>
      <c r="K24" s="8"/>
      <c r="L24" s="1"/>
      <c r="M24" s="1"/>
      <c r="N24" s="1"/>
      <c r="O24" s="1"/>
      <c r="P24" s="1"/>
      <c r="Q24" s="1"/>
      <c r="R24" s="1"/>
      <c r="S24" s="1"/>
      <c r="T24" s="1"/>
      <c r="U24" s="1"/>
      <c r="V24" s="1"/>
      <c r="W24" s="1"/>
    </row>
    <row r="25" spans="2:23" ht="15.75">
      <c r="B25" s="68" t="s">
        <v>89</v>
      </c>
      <c r="C25" s="69" t="s">
        <v>90</v>
      </c>
      <c r="D25" s="69"/>
      <c r="E25" s="58"/>
      <c r="F25" s="58"/>
      <c r="G25" s="58"/>
      <c r="H25" s="58"/>
      <c r="I25" s="58"/>
      <c r="J25" s="58"/>
      <c r="K25" s="59"/>
      <c r="L25" s="1"/>
      <c r="M25" s="77"/>
      <c r="N25" s="1"/>
      <c r="O25" s="1"/>
      <c r="P25" s="1"/>
      <c r="Q25" s="1"/>
      <c r="R25" s="1"/>
      <c r="S25" s="1"/>
      <c r="T25" s="1"/>
      <c r="U25" s="1"/>
      <c r="V25" s="1"/>
      <c r="W25" s="1"/>
    </row>
    <row r="26" spans="2:23" ht="15.75">
      <c r="B26" s="70"/>
      <c r="C26" s="71" t="s">
        <v>91</v>
      </c>
      <c r="D26" s="71"/>
      <c r="E26" s="8"/>
      <c r="F26" s="8"/>
      <c r="G26" s="8"/>
      <c r="H26" s="8"/>
      <c r="I26" s="8"/>
      <c r="J26" s="8"/>
      <c r="K26" s="61"/>
      <c r="L26" s="1"/>
      <c r="M26" s="49"/>
      <c r="N26" s="1"/>
      <c r="O26" s="1"/>
      <c r="P26" s="1"/>
      <c r="Q26" s="1"/>
      <c r="R26" s="1"/>
      <c r="S26" s="1"/>
      <c r="T26" s="1"/>
      <c r="U26" s="1"/>
      <c r="V26" s="1"/>
      <c r="W26" s="1"/>
    </row>
    <row r="27" spans="2:23" ht="15.75">
      <c r="B27" s="72"/>
      <c r="C27" s="71" t="s">
        <v>92</v>
      </c>
      <c r="D27" s="71"/>
      <c r="E27" s="8"/>
      <c r="F27" s="8"/>
      <c r="G27" s="8"/>
      <c r="H27" s="8"/>
      <c r="I27" s="8"/>
      <c r="J27" s="8"/>
      <c r="K27" s="61"/>
      <c r="L27" s="1"/>
      <c r="M27" s="1"/>
      <c r="N27" s="1"/>
      <c r="O27" s="1"/>
      <c r="P27" s="1"/>
      <c r="Q27" s="1"/>
      <c r="R27" s="1"/>
      <c r="S27" s="1"/>
      <c r="T27" s="1"/>
      <c r="U27" s="1"/>
      <c r="V27" s="1"/>
      <c r="W27" s="1"/>
    </row>
    <row r="28" spans="2:23" ht="15.75">
      <c r="B28" s="70"/>
      <c r="C28" s="71" t="s">
        <v>93</v>
      </c>
      <c r="D28" s="71"/>
      <c r="E28" s="8"/>
      <c r="F28" s="8"/>
      <c r="G28" s="8"/>
      <c r="H28" s="8"/>
      <c r="I28" s="8"/>
      <c r="J28" s="8"/>
      <c r="K28" s="61"/>
      <c r="L28" s="1"/>
      <c r="M28" s="1"/>
      <c r="N28" s="1"/>
      <c r="O28" s="1"/>
      <c r="P28" s="1"/>
      <c r="Q28" s="1"/>
      <c r="R28" s="1"/>
      <c r="S28" s="1"/>
      <c r="T28" s="1"/>
      <c r="U28" s="1"/>
      <c r="V28" s="1"/>
      <c r="W28" s="1"/>
    </row>
    <row r="29" spans="2:23" ht="15.75">
      <c r="B29" s="70"/>
      <c r="C29" s="64" t="s">
        <v>94</v>
      </c>
      <c r="D29" s="64"/>
      <c r="E29" s="8"/>
      <c r="F29" s="8"/>
      <c r="G29" s="8"/>
      <c r="H29" s="8"/>
      <c r="I29" s="8"/>
      <c r="J29" s="8"/>
      <c r="K29" s="61"/>
      <c r="L29" s="1"/>
      <c r="M29" s="1"/>
      <c r="N29" s="1"/>
      <c r="O29" s="1"/>
      <c r="P29" s="1"/>
      <c r="Q29" s="1"/>
      <c r="R29" s="1"/>
      <c r="S29" s="1"/>
      <c r="T29" s="1"/>
      <c r="U29" s="1"/>
      <c r="V29" s="1"/>
      <c r="W29" s="1"/>
    </row>
    <row r="30" spans="2:23" ht="15.75">
      <c r="B30" s="73"/>
      <c r="C30" s="64" t="s">
        <v>95</v>
      </c>
      <c r="D30" s="64"/>
      <c r="E30" s="8"/>
      <c r="F30" s="8"/>
      <c r="G30" s="8"/>
      <c r="H30" s="8"/>
      <c r="I30" s="8"/>
      <c r="J30" s="8"/>
      <c r="K30" s="61"/>
      <c r="L30" s="1"/>
      <c r="M30" s="1"/>
      <c r="N30" s="1"/>
      <c r="O30" s="1"/>
      <c r="P30" s="1"/>
      <c r="Q30" s="1"/>
      <c r="R30" s="1"/>
      <c r="S30" s="1"/>
      <c r="T30" s="1"/>
      <c r="U30" s="1"/>
      <c r="V30" s="1"/>
      <c r="W30" s="1"/>
    </row>
    <row r="31" spans="2:23" ht="15.75">
      <c r="B31" s="70"/>
      <c r="C31" s="64" t="s">
        <v>96</v>
      </c>
      <c r="D31" s="64"/>
      <c r="E31" s="8"/>
      <c r="F31" s="8"/>
      <c r="G31" s="8"/>
      <c r="H31" s="8"/>
      <c r="I31" s="8"/>
      <c r="J31" s="8"/>
      <c r="K31" s="61"/>
      <c r="L31" s="1"/>
      <c r="M31" s="1"/>
      <c r="N31" s="1"/>
      <c r="O31" s="1"/>
      <c r="P31" s="1"/>
      <c r="Q31" s="1"/>
      <c r="R31" s="1"/>
      <c r="S31" s="1"/>
      <c r="T31" s="1"/>
      <c r="U31" s="1"/>
      <c r="V31" s="1"/>
      <c r="W31" s="1"/>
    </row>
    <row r="32" spans="2:23" ht="15.75">
      <c r="B32" s="74"/>
      <c r="C32" s="75" t="s">
        <v>97</v>
      </c>
      <c r="D32" s="75"/>
      <c r="E32" s="7"/>
      <c r="F32" s="7"/>
      <c r="G32" s="7"/>
      <c r="H32" s="7"/>
      <c r="I32" s="7"/>
      <c r="J32" s="7"/>
      <c r="K32" s="66"/>
      <c r="L32" s="1"/>
      <c r="M32" s="1"/>
      <c r="N32" s="1"/>
      <c r="O32" s="1"/>
      <c r="P32" s="1"/>
      <c r="Q32" s="1"/>
      <c r="R32" s="1"/>
      <c r="S32" s="1"/>
      <c r="T32" s="1"/>
      <c r="U32" s="1"/>
      <c r="V32" s="1"/>
      <c r="W32" s="1"/>
    </row>
    <row r="33" spans="2:23" ht="15.75">
      <c r="B33" s="67"/>
      <c r="C33" s="64"/>
      <c r="D33" s="64"/>
      <c r="E33" s="8"/>
      <c r="F33" s="8"/>
      <c r="G33" s="8"/>
      <c r="H33" s="8"/>
      <c r="I33" s="8"/>
      <c r="J33" s="8"/>
      <c r="K33" s="8"/>
      <c r="L33" s="1"/>
      <c r="M33" s="1"/>
      <c r="N33" s="1"/>
      <c r="O33" s="1"/>
      <c r="P33" s="1"/>
      <c r="Q33" s="1"/>
      <c r="R33" s="1"/>
      <c r="S33" s="1"/>
      <c r="T33" s="1"/>
      <c r="U33" s="1"/>
      <c r="V33" s="1"/>
      <c r="W33" s="1"/>
    </row>
    <row r="34" spans="2:23" ht="15.75">
      <c r="B34" s="67"/>
      <c r="C34" s="64"/>
      <c r="D34" s="64"/>
      <c r="E34" s="8"/>
      <c r="F34" s="8"/>
      <c r="G34" s="8"/>
      <c r="H34" s="8"/>
      <c r="I34" s="8"/>
      <c r="J34" s="8"/>
      <c r="K34" s="8"/>
      <c r="L34" s="1"/>
      <c r="M34" s="1"/>
      <c r="N34" s="1"/>
      <c r="O34" s="1"/>
      <c r="P34" s="1"/>
      <c r="Q34" s="1"/>
      <c r="R34" s="1"/>
      <c r="S34" s="1"/>
      <c r="T34" s="1"/>
      <c r="U34" s="1"/>
      <c r="V34" s="1"/>
      <c r="W34" s="1"/>
    </row>
    <row r="35" spans="3:10" ht="45.75" customHeight="1">
      <c r="C35" s="1103">
        <f>+'Participant Assessment Budget'!C2</f>
        <v>0</v>
      </c>
      <c r="D35" s="1103"/>
      <c r="E35" s="1103"/>
      <c r="F35" s="236"/>
      <c r="G35" s="1045">
        <f>'Provider Information'!$F$13</f>
        <v>0</v>
      </c>
      <c r="H35" s="1045"/>
      <c r="I35" s="1045"/>
      <c r="J35" s="1045"/>
    </row>
    <row r="36" spans="3:10" ht="12.75">
      <c r="C36" s="1107" t="s">
        <v>98</v>
      </c>
      <c r="D36" s="1107"/>
      <c r="E36" s="1107"/>
      <c r="F36" s="237"/>
      <c r="G36" s="1102" t="s">
        <v>34</v>
      </c>
      <c r="H36" s="1102"/>
      <c r="I36" s="1102"/>
      <c r="J36" s="1102"/>
    </row>
    <row r="37" spans="2:10" ht="12.75">
      <c r="B37" s="51"/>
      <c r="C37" s="2"/>
      <c r="D37" s="2"/>
      <c r="E37" s="2"/>
      <c r="F37" s="2"/>
      <c r="G37" s="2"/>
      <c r="H37" s="2"/>
      <c r="I37" s="2"/>
      <c r="J37" s="2"/>
    </row>
    <row r="38" spans="2:10" ht="12.75">
      <c r="B38" s="51"/>
      <c r="C38" s="2"/>
      <c r="D38" s="2"/>
      <c r="E38" s="2"/>
      <c r="F38" s="2"/>
      <c r="G38" s="2"/>
      <c r="H38" s="2"/>
      <c r="I38" s="2"/>
      <c r="J38" s="2"/>
    </row>
    <row r="39" spans="3:10" ht="15.75">
      <c r="C39" s="1042"/>
      <c r="D39" s="1042"/>
      <c r="E39" s="1042"/>
      <c r="F39" s="236"/>
      <c r="G39" s="1045"/>
      <c r="H39" s="1045"/>
      <c r="I39" s="1045"/>
      <c r="J39" s="1045"/>
    </row>
    <row r="40" spans="3:10" ht="12.75">
      <c r="C40" s="1102" t="s">
        <v>36</v>
      </c>
      <c r="D40" s="1102"/>
      <c r="E40" s="1102"/>
      <c r="F40" s="238"/>
      <c r="G40" s="1102" t="s">
        <v>35</v>
      </c>
      <c r="H40" s="1102"/>
      <c r="I40" s="1102"/>
      <c r="J40" s="1102"/>
    </row>
    <row r="41" ht="12.75">
      <c r="B41" s="51"/>
    </row>
    <row r="42" ht="12.75">
      <c r="B42" s="51"/>
    </row>
    <row r="43" ht="12.75">
      <c r="B43" s="51"/>
    </row>
    <row r="44" spans="3:9" ht="15.75">
      <c r="C44" s="51" t="s">
        <v>99</v>
      </c>
      <c r="D44" s="53"/>
      <c r="E44" s="54" t="s">
        <v>100</v>
      </c>
      <c r="F44" s="53"/>
      <c r="G44" s="54" t="s">
        <v>101</v>
      </c>
      <c r="H44" s="54"/>
      <c r="I44" s="54"/>
    </row>
    <row r="45" spans="3:9" ht="15.75">
      <c r="C45" s="51" t="s">
        <v>102</v>
      </c>
      <c r="D45" s="53"/>
      <c r="E45" s="51" t="s">
        <v>103</v>
      </c>
      <c r="F45" s="53"/>
      <c r="G45" s="54" t="s">
        <v>104</v>
      </c>
      <c r="H45" s="54"/>
      <c r="I45" s="54"/>
    </row>
    <row r="46" spans="4:9" ht="15.75">
      <c r="D46" s="53"/>
      <c r="E46" s="54" t="s">
        <v>105</v>
      </c>
      <c r="F46" s="53"/>
      <c r="G46" s="54" t="s">
        <v>106</v>
      </c>
      <c r="H46" s="54"/>
      <c r="I46" s="54"/>
    </row>
    <row r="47" ht="12.75">
      <c r="B47" s="51"/>
    </row>
  </sheetData>
  <sheetProtection sheet="1" objects="1" scenarios="1"/>
  <mergeCells count="15">
    <mergeCell ref="G6:K6"/>
    <mergeCell ref="B5:K5"/>
    <mergeCell ref="C36:E36"/>
    <mergeCell ref="G36:J36"/>
    <mergeCell ref="D3:I3"/>
    <mergeCell ref="C1:D1"/>
    <mergeCell ref="D2:H2"/>
    <mergeCell ref="C40:E40"/>
    <mergeCell ref="G40:J40"/>
    <mergeCell ref="C39:E39"/>
    <mergeCell ref="C35:E35"/>
    <mergeCell ref="G35:J35"/>
    <mergeCell ref="B4:K4"/>
    <mergeCell ref="G39:J39"/>
    <mergeCell ref="B6:E6"/>
  </mergeCells>
  <printOptions/>
  <pageMargins left="0.7" right="0.7" top="0.75" bottom="0.75" header="0.3" footer="0.3"/>
  <pageSetup fitToHeight="1" fitToWidth="1" horizontalDpi="600" verticalDpi="600" orientation="portrait" paperSize="5" scale="89" r:id="rId2"/>
  <legacyDrawing r:id="rId1"/>
</worksheet>
</file>

<file path=xl/worksheets/sheet16.xml><?xml version="1.0" encoding="utf-8"?>
<worksheet xmlns="http://schemas.openxmlformats.org/spreadsheetml/2006/main" xmlns:r="http://schemas.openxmlformats.org/officeDocument/2006/relationships">
  <sheetPr codeName="Sheet15">
    <tabColor theme="9" tint="-0.24997000396251678"/>
    <pageSetUpPr fitToPage="1"/>
  </sheetPr>
  <dimension ref="A1:N50"/>
  <sheetViews>
    <sheetView showGridLines="0" zoomScalePageLayoutView="0" workbookViewId="0" topLeftCell="A1">
      <selection activeCell="B10" sqref="B10"/>
    </sheetView>
  </sheetViews>
  <sheetFormatPr defaultColWidth="9.140625" defaultRowHeight="12.75"/>
  <cols>
    <col min="1" max="1" width="6.140625" style="20" customWidth="1"/>
    <col min="2" max="2" width="11.421875" style="20" customWidth="1"/>
    <col min="3" max="3" width="11.00390625" style="20" customWidth="1"/>
    <col min="4" max="4" width="14.140625" style="20" customWidth="1"/>
    <col min="5" max="5" width="23.7109375" style="20" customWidth="1"/>
    <col min="6" max="6" width="21.28125" style="20" customWidth="1"/>
    <col min="7" max="7" width="23.421875" style="20" customWidth="1"/>
    <col min="8" max="8" width="3.140625" style="20" customWidth="1"/>
    <col min="9" max="16384" width="9.140625" style="20" customWidth="1"/>
  </cols>
  <sheetData>
    <row r="1" spans="3:4" ht="15">
      <c r="C1" s="1049">
        <f ca="1">NOW()</f>
        <v>44650.39911342593</v>
      </c>
      <c r="D1" s="1049"/>
    </row>
    <row r="2" spans="3:7" ht="15">
      <c r="C2" s="644" t="s">
        <v>389</v>
      </c>
      <c r="D2" s="816" t="str">
        <f>+'Provider Information'!D21</f>
        <v>Area Agency on Aging of Deep East Texas</v>
      </c>
      <c r="E2" s="816"/>
      <c r="F2" s="816"/>
      <c r="G2" s="816"/>
    </row>
    <row r="3" spans="2:7" ht="18.75">
      <c r="B3" s="1110" t="str">
        <f>+'Provider Total Budget by Serv'!J4</f>
        <v>Participant Assessment</v>
      </c>
      <c r="C3" s="1111"/>
      <c r="D3" s="1111"/>
      <c r="E3" s="1111"/>
      <c r="F3" s="1111"/>
      <c r="G3" s="1111"/>
    </row>
    <row r="4" spans="2:8" ht="15">
      <c r="B4" s="1112" t="s">
        <v>40</v>
      </c>
      <c r="C4" s="1112"/>
      <c r="D4" s="1112"/>
      <c r="E4" s="1112"/>
      <c r="F4" s="1112"/>
      <c r="G4" s="1112"/>
      <c r="H4" s="239"/>
    </row>
    <row r="5" spans="2:5" ht="15">
      <c r="B5" s="20" t="s">
        <v>41</v>
      </c>
      <c r="C5" s="1108">
        <f>IF(ISBLANK('Provider Information'!F6),"",+'Provider Information'!F6)</f>
      </c>
      <c r="D5" s="1109"/>
      <c r="E5" s="1109"/>
    </row>
    <row r="7" spans="2:7" ht="15">
      <c r="B7" s="967" t="s">
        <v>42</v>
      </c>
      <c r="C7" s="967"/>
      <c r="D7" s="977">
        <f>+G25</f>
        <v>0</v>
      </c>
      <c r="E7" s="978"/>
      <c r="F7" s="36"/>
      <c r="G7" s="203"/>
    </row>
    <row r="9" spans="2:7" ht="15">
      <c r="B9" s="963" t="s">
        <v>449</v>
      </c>
      <c r="C9" s="963"/>
      <c r="D9" s="963"/>
      <c r="E9" s="963"/>
      <c r="F9" s="963"/>
      <c r="G9" s="963"/>
    </row>
    <row r="10" ht="15.75" thickBot="1"/>
    <row r="11" spans="2:7" ht="15.75" thickTop="1">
      <c r="B11" s="22"/>
      <c r="C11" s="23"/>
      <c r="D11" s="23"/>
      <c r="E11" s="24"/>
      <c r="F11" s="25"/>
      <c r="G11" s="26"/>
    </row>
    <row r="12" spans="2:7" ht="15">
      <c r="B12" s="981" t="s">
        <v>43</v>
      </c>
      <c r="C12" s="982"/>
      <c r="D12" s="982"/>
      <c r="E12" s="983"/>
      <c r="F12" s="27" t="s">
        <v>44</v>
      </c>
      <c r="G12" s="28" t="s">
        <v>75</v>
      </c>
    </row>
    <row r="13" spans="2:7" ht="15">
      <c r="B13" s="984"/>
      <c r="C13" s="985"/>
      <c r="D13" s="985"/>
      <c r="E13" s="986"/>
      <c r="F13" s="47"/>
      <c r="G13" s="44"/>
    </row>
    <row r="14" spans="2:7" ht="15">
      <c r="B14" s="970"/>
      <c r="C14" s="971"/>
      <c r="D14" s="971"/>
      <c r="E14" s="972"/>
      <c r="F14" s="43"/>
      <c r="G14" s="44"/>
    </row>
    <row r="15" spans="2:7" ht="15">
      <c r="B15" s="970"/>
      <c r="C15" s="971"/>
      <c r="D15" s="971"/>
      <c r="E15" s="972"/>
      <c r="F15" s="43"/>
      <c r="G15" s="44"/>
    </row>
    <row r="16" spans="2:7" ht="15">
      <c r="B16" s="970"/>
      <c r="C16" s="971"/>
      <c r="D16" s="971"/>
      <c r="E16" s="972"/>
      <c r="F16" s="43"/>
      <c r="G16" s="44"/>
    </row>
    <row r="17" spans="2:7" ht="15">
      <c r="B17" s="970"/>
      <c r="C17" s="971"/>
      <c r="D17" s="971"/>
      <c r="E17" s="972"/>
      <c r="F17" s="43"/>
      <c r="G17" s="44"/>
    </row>
    <row r="18" spans="2:7" ht="15">
      <c r="B18" s="970"/>
      <c r="C18" s="971"/>
      <c r="D18" s="971"/>
      <c r="E18" s="972"/>
      <c r="F18" s="43"/>
      <c r="G18" s="44"/>
    </row>
    <row r="19" spans="2:7" ht="15">
      <c r="B19" s="970"/>
      <c r="C19" s="971"/>
      <c r="D19" s="971"/>
      <c r="E19" s="972"/>
      <c r="F19" s="43"/>
      <c r="G19" s="44"/>
    </row>
    <row r="20" spans="2:10" ht="15">
      <c r="B20" s="970"/>
      <c r="C20" s="971"/>
      <c r="D20" s="971"/>
      <c r="E20" s="972"/>
      <c r="F20" s="43"/>
      <c r="G20" s="44"/>
      <c r="J20" s="29"/>
    </row>
    <row r="21" spans="2:7" ht="15">
      <c r="B21" s="970"/>
      <c r="C21" s="979"/>
      <c r="D21" s="979"/>
      <c r="E21" s="980"/>
      <c r="F21" s="43"/>
      <c r="G21" s="44"/>
    </row>
    <row r="22" spans="2:7" ht="15">
      <c r="B22" s="970"/>
      <c r="C22" s="971"/>
      <c r="D22" s="971"/>
      <c r="E22" s="972"/>
      <c r="F22" s="43"/>
      <c r="G22" s="44"/>
    </row>
    <row r="23" spans="2:7" ht="15">
      <c r="B23" s="970"/>
      <c r="C23" s="971"/>
      <c r="D23" s="971"/>
      <c r="E23" s="972"/>
      <c r="F23" s="43"/>
      <c r="G23" s="44"/>
    </row>
    <row r="24" spans="2:7" ht="15">
      <c r="B24" s="970"/>
      <c r="C24" s="971"/>
      <c r="D24" s="971"/>
      <c r="E24" s="972"/>
      <c r="F24" s="43"/>
      <c r="G24" s="44"/>
    </row>
    <row r="25" spans="2:7" ht="15.75" thickBot="1">
      <c r="B25" s="973"/>
      <c r="C25" s="974"/>
      <c r="D25" s="974"/>
      <c r="E25" s="975"/>
      <c r="F25" s="30" t="s">
        <v>45</v>
      </c>
      <c r="G25" s="31">
        <f>SUM(G13:G24)</f>
        <v>0</v>
      </c>
    </row>
    <row r="26" ht="15.75" thickTop="1"/>
    <row r="27" spans="2:7" ht="33" customHeight="1">
      <c r="B27" s="32" t="s">
        <v>46</v>
      </c>
      <c r="C27" s="968" t="s">
        <v>47</v>
      </c>
      <c r="D27" s="969"/>
      <c r="E27" s="969"/>
      <c r="F27" s="969"/>
      <c r="G27" s="29"/>
    </row>
    <row r="29" ht="15">
      <c r="B29" s="20" t="s">
        <v>48</v>
      </c>
    </row>
    <row r="31" spans="2:4" ht="15">
      <c r="B31" s="20" t="s">
        <v>49</v>
      </c>
      <c r="C31" s="34" t="s">
        <v>0</v>
      </c>
      <c r="D31" s="20" t="s">
        <v>50</v>
      </c>
    </row>
    <row r="32" spans="3:8" ht="30.75" customHeight="1">
      <c r="C32" s="35" t="s">
        <v>2</v>
      </c>
      <c r="D32" s="968" t="s">
        <v>76</v>
      </c>
      <c r="E32" s="968"/>
      <c r="F32" s="968"/>
      <c r="G32" s="968"/>
      <c r="H32" s="33"/>
    </row>
    <row r="34" spans="2:14" ht="15">
      <c r="B34" s="20" t="s">
        <v>51</v>
      </c>
      <c r="C34" s="34" t="s">
        <v>0</v>
      </c>
      <c r="D34" s="20" t="s">
        <v>52</v>
      </c>
      <c r="J34" s="968"/>
      <c r="K34" s="968"/>
      <c r="L34" s="968"/>
      <c r="M34" s="968"/>
      <c r="N34" s="968"/>
    </row>
    <row r="35" spans="3:7" ht="33" customHeight="1">
      <c r="C35" s="35" t="s">
        <v>2</v>
      </c>
      <c r="D35" s="968" t="s">
        <v>110</v>
      </c>
      <c r="E35" s="969"/>
      <c r="F35" s="969"/>
      <c r="G35" s="969"/>
    </row>
    <row r="36" spans="3:7" ht="15">
      <c r="C36" s="36"/>
      <c r="D36" s="37"/>
      <c r="E36" s="37"/>
      <c r="F36" s="37"/>
      <c r="G36" s="37"/>
    </row>
    <row r="37" spans="3:6" ht="15">
      <c r="C37" s="36"/>
      <c r="F37" s="21"/>
    </row>
    <row r="38" ht="15">
      <c r="B38" s="38" t="s">
        <v>77</v>
      </c>
    </row>
    <row r="39" ht="15">
      <c r="B39" s="38" t="s">
        <v>53</v>
      </c>
    </row>
    <row r="41" spans="2:4" ht="15">
      <c r="B41" s="20" t="s">
        <v>54</v>
      </c>
      <c r="C41" s="34" t="s">
        <v>0</v>
      </c>
      <c r="D41" s="20" t="s">
        <v>55</v>
      </c>
    </row>
    <row r="42" spans="3:4" ht="15">
      <c r="C42" s="34" t="s">
        <v>2</v>
      </c>
      <c r="D42" s="37" t="s">
        <v>56</v>
      </c>
    </row>
    <row r="44" spans="2:9" ht="44.25" customHeight="1">
      <c r="B44" s="962">
        <f>+'Participant Assessment Budget'!C2</f>
        <v>0</v>
      </c>
      <c r="C44" s="962"/>
      <c r="D44" s="962"/>
      <c r="E44" s="40"/>
      <c r="F44" s="961">
        <f>'Provider Information'!$F$13</f>
        <v>0</v>
      </c>
      <c r="G44" s="961"/>
      <c r="I44" s="40"/>
    </row>
    <row r="45" spans="1:9" ht="15">
      <c r="A45" s="37"/>
      <c r="B45" s="965" t="s">
        <v>57</v>
      </c>
      <c r="C45" s="965"/>
      <c r="D45" s="965"/>
      <c r="E45" s="41"/>
      <c r="F45" s="964" t="s">
        <v>34</v>
      </c>
      <c r="G45" s="964"/>
      <c r="I45" s="42"/>
    </row>
    <row r="47" spans="2:9" ht="15">
      <c r="B47" s="966"/>
      <c r="C47" s="966"/>
      <c r="D47" s="966"/>
      <c r="E47" s="40"/>
      <c r="F47" s="1051"/>
      <c r="G47" s="1051"/>
      <c r="I47" s="40"/>
    </row>
    <row r="48" spans="2:9" ht="15">
      <c r="B48" s="964" t="s">
        <v>36</v>
      </c>
      <c r="C48" s="965"/>
      <c r="D48" s="965"/>
      <c r="E48" s="21"/>
      <c r="F48" s="964" t="s">
        <v>35</v>
      </c>
      <c r="G48" s="964"/>
      <c r="I48" s="19"/>
    </row>
    <row r="49" spans="2:9" ht="15">
      <c r="B49" s="21"/>
      <c r="C49" s="21"/>
      <c r="D49" s="21"/>
      <c r="E49" s="21"/>
      <c r="G49" s="19"/>
      <c r="H49" s="19"/>
      <c r="I49" s="19"/>
    </row>
    <row r="50" spans="2:8" ht="15">
      <c r="B50" s="963"/>
      <c r="C50" s="963"/>
      <c r="D50" s="963"/>
      <c r="E50" s="963"/>
      <c r="F50" s="963"/>
      <c r="G50" s="963"/>
      <c r="H50" s="963"/>
    </row>
  </sheetData>
  <sheetProtection sheet="1" objects="1" scenarios="1"/>
  <mergeCells count="35">
    <mergeCell ref="C1:D1"/>
    <mergeCell ref="D2:G2"/>
    <mergeCell ref="J34:N34"/>
    <mergeCell ref="D35:G35"/>
    <mergeCell ref="B22:E22"/>
    <mergeCell ref="B23:E23"/>
    <mergeCell ref="B24:E24"/>
    <mergeCell ref="B25:E25"/>
    <mergeCell ref="B3:G3"/>
    <mergeCell ref="B4:G4"/>
    <mergeCell ref="B13:E13"/>
    <mergeCell ref="D7:E7"/>
    <mergeCell ref="B21:E21"/>
    <mergeCell ref="B14:E14"/>
    <mergeCell ref="B15:E15"/>
    <mergeCell ref="B16:E16"/>
    <mergeCell ref="B9:G9"/>
    <mergeCell ref="B12:E12"/>
    <mergeCell ref="B17:E17"/>
    <mergeCell ref="B50:H50"/>
    <mergeCell ref="B48:D48"/>
    <mergeCell ref="F48:G48"/>
    <mergeCell ref="C5:E5"/>
    <mergeCell ref="B7:C7"/>
    <mergeCell ref="B45:D45"/>
    <mergeCell ref="F45:G45"/>
    <mergeCell ref="C27:F27"/>
    <mergeCell ref="D32:G32"/>
    <mergeCell ref="B18:E18"/>
    <mergeCell ref="F47:G47"/>
    <mergeCell ref="B47:D47"/>
    <mergeCell ref="F44:G44"/>
    <mergeCell ref="B44:D44"/>
    <mergeCell ref="B19:E19"/>
    <mergeCell ref="B20:E20"/>
  </mergeCells>
  <dataValidations count="2">
    <dataValidation operator="greaterThan" allowBlank="1" showInputMessage="1" showErrorMessage="1" sqref="F13:F24"/>
    <dataValidation type="decimal" allowBlank="1" showInputMessage="1" showErrorMessage="1" sqref="G13:G24">
      <formula1>0</formula1>
      <formula2>15000000</formula2>
    </dataValidation>
  </dataValidations>
  <hyperlinks>
    <hyperlink ref="C27" r:id="rId1" display="http://www.irs.gov/pub/irs-pdf/p561.pdf"/>
  </hyperlinks>
  <printOptions/>
  <pageMargins left="0.7" right="0.7" top="0.75" bottom="0.75" header="0.3" footer="0.3"/>
  <pageSetup fitToHeight="1" fitToWidth="1" horizontalDpi="600" verticalDpi="600" orientation="portrait" paperSize="5" scale="86" r:id="rId2"/>
</worksheet>
</file>

<file path=xl/worksheets/sheet17.xml><?xml version="1.0" encoding="utf-8"?>
<worksheet xmlns="http://schemas.openxmlformats.org/spreadsheetml/2006/main" xmlns:r="http://schemas.openxmlformats.org/officeDocument/2006/relationships">
  <sheetPr codeName="Sheet16">
    <tabColor rgb="FF0070C0"/>
    <pageSetUpPr fitToPage="1"/>
  </sheetPr>
  <dimension ref="A1:R106"/>
  <sheetViews>
    <sheetView zoomScale="90" zoomScaleNormal="90" zoomScalePageLayoutView="0" workbookViewId="0" topLeftCell="A5">
      <selection activeCell="C6" sqref="C6:C7"/>
    </sheetView>
  </sheetViews>
  <sheetFormatPr defaultColWidth="9.140625" defaultRowHeight="12.75"/>
  <cols>
    <col min="1" max="1" width="3.57421875" style="316" customWidth="1"/>
    <col min="2" max="2" width="34.8515625" style="316" customWidth="1"/>
    <col min="3" max="3" width="11.7109375" style="461" customWidth="1"/>
    <col min="4" max="4" width="10.140625" style="461" customWidth="1"/>
    <col min="5" max="5" width="13.140625" style="461" customWidth="1"/>
    <col min="6" max="6" width="11.7109375" style="462" customWidth="1"/>
    <col min="7" max="7" width="13.28125" style="461" customWidth="1"/>
    <col min="8" max="8" width="3.421875" style="320" customWidth="1"/>
    <col min="9" max="9" width="21.421875" style="461" bestFit="1" customWidth="1"/>
    <col min="10" max="10" width="21.421875" style="461" customWidth="1"/>
    <col min="11" max="11" width="23.140625" style="320" customWidth="1"/>
    <col min="12" max="12" width="3.421875" style="320" customWidth="1"/>
    <col min="13" max="13" width="59.28125" style="320" customWidth="1"/>
    <col min="14" max="14" width="17.8515625" style="320" customWidth="1"/>
    <col min="15" max="15" width="4.57421875" style="288" customWidth="1"/>
    <col min="16" max="18" width="15.7109375" style="288" customWidth="1"/>
    <col min="19" max="16384" width="9.140625" style="288" customWidth="1"/>
  </cols>
  <sheetData>
    <row r="1" spans="1:15" ht="18">
      <c r="A1" s="593"/>
      <c r="B1" s="779" t="str">
        <f>+'Provider Total Budget by Serv'!K4</f>
        <v>Transportation</v>
      </c>
      <c r="C1" s="779"/>
      <c r="D1" s="779"/>
      <c r="E1" s="779"/>
      <c r="F1" s="779"/>
      <c r="G1" s="779"/>
      <c r="H1" s="779"/>
      <c r="I1" s="779"/>
      <c r="J1" s="779"/>
      <c r="K1" s="779"/>
      <c r="L1" s="779"/>
      <c r="M1" s="779"/>
      <c r="N1" s="779"/>
      <c r="O1" s="1120"/>
    </row>
    <row r="2" spans="1:15" ht="12.75" customHeight="1">
      <c r="A2" s="586"/>
      <c r="B2" s="646" t="s">
        <v>26</v>
      </c>
      <c r="C2" s="903">
        <f>'Provider Information'!$F$6</f>
        <v>0</v>
      </c>
      <c r="D2" s="903"/>
      <c r="E2" s="903"/>
      <c r="F2" s="903"/>
      <c r="G2" s="904"/>
      <c r="H2" s="1055"/>
      <c r="I2" s="1015" t="s">
        <v>256</v>
      </c>
      <c r="J2" s="1015"/>
      <c r="K2" s="1015"/>
      <c r="L2" s="1015"/>
      <c r="M2" s="1015"/>
      <c r="N2" s="1015"/>
      <c r="O2" s="1121"/>
    </row>
    <row r="3" spans="1:15" ht="12.75" customHeight="1">
      <c r="A3" s="586"/>
      <c r="B3" s="644" t="s">
        <v>389</v>
      </c>
      <c r="C3" s="817" t="str">
        <f>+'Provider Information'!D21</f>
        <v>Area Agency on Aging of Deep East Texas</v>
      </c>
      <c r="D3" s="817"/>
      <c r="E3" s="817"/>
      <c r="F3" s="817"/>
      <c r="G3" s="905"/>
      <c r="H3" s="1056"/>
      <c r="I3" s="1018"/>
      <c r="J3" s="1018"/>
      <c r="K3" s="1018"/>
      <c r="L3" s="1018"/>
      <c r="M3" s="1018"/>
      <c r="N3" s="1018"/>
      <c r="O3" s="1121"/>
    </row>
    <row r="4" spans="1:15" ht="12.75" customHeight="1">
      <c r="A4" s="587"/>
      <c r="B4" s="648"/>
      <c r="C4" s="906"/>
      <c r="D4" s="906"/>
      <c r="E4" s="906"/>
      <c r="F4" s="906"/>
      <c r="G4" s="907"/>
      <c r="H4" s="1056"/>
      <c r="I4" s="1021"/>
      <c r="J4" s="1021"/>
      <c r="K4" s="1021"/>
      <c r="L4" s="1021"/>
      <c r="M4" s="1021"/>
      <c r="N4" s="1021"/>
      <c r="O4" s="1121"/>
    </row>
    <row r="5" spans="1:15" ht="12.75">
      <c r="A5" s="588"/>
      <c r="B5" s="1088"/>
      <c r="C5" s="1088"/>
      <c r="D5" s="1088">
        <f ca="1">NOW()</f>
        <v>44650.39911342593</v>
      </c>
      <c r="E5" s="1088"/>
      <c r="F5" s="1088"/>
      <c r="G5" s="1088"/>
      <c r="H5" s="368"/>
      <c r="I5" s="880"/>
      <c r="J5" s="880"/>
      <c r="K5" s="880"/>
      <c r="L5" s="369"/>
      <c r="M5" s="561"/>
      <c r="N5" s="595"/>
      <c r="O5" s="1121"/>
    </row>
    <row r="6" spans="1:15" ht="18" customHeight="1">
      <c r="A6" s="589"/>
      <c r="B6" s="853" t="s">
        <v>328</v>
      </c>
      <c r="C6" s="997">
        <v>2019</v>
      </c>
      <c r="D6" s="999"/>
      <c r="E6" s="999"/>
      <c r="F6" s="999"/>
      <c r="G6" s="1000"/>
      <c r="H6" s="370"/>
      <c r="I6" s="881" t="s">
        <v>258</v>
      </c>
      <c r="J6" s="882"/>
      <c r="K6" s="882"/>
      <c r="L6" s="370"/>
      <c r="M6" s="1026" t="s">
        <v>259</v>
      </c>
      <c r="N6" s="1026"/>
      <c r="O6" s="1121"/>
    </row>
    <row r="7" spans="1:15" ht="18">
      <c r="A7" s="589"/>
      <c r="B7" s="854"/>
      <c r="C7" s="998"/>
      <c r="D7" s="1001"/>
      <c r="E7" s="1001"/>
      <c r="F7" s="1001"/>
      <c r="G7" s="1002"/>
      <c r="H7" s="371"/>
      <c r="I7" s="883"/>
      <c r="J7" s="884"/>
      <c r="K7" s="884"/>
      <c r="L7" s="371"/>
      <c r="M7" s="1026"/>
      <c r="N7" s="1026"/>
      <c r="O7" s="1121"/>
    </row>
    <row r="8" spans="1:15" ht="12.75">
      <c r="A8" s="588"/>
      <c r="B8" s="1089"/>
      <c r="C8" s="1089"/>
      <c r="D8" s="1089"/>
      <c r="E8" s="1089"/>
      <c r="F8" s="1089"/>
      <c r="G8" s="1089"/>
      <c r="H8" s="372"/>
      <c r="I8" s="1113"/>
      <c r="J8" s="880"/>
      <c r="K8" s="880"/>
      <c r="L8" s="372"/>
      <c r="M8" s="911"/>
      <c r="N8" s="796"/>
      <c r="O8" s="1121"/>
    </row>
    <row r="9" spans="1:15" s="530" customFormat="1" ht="12.75" customHeight="1">
      <c r="A9" s="590"/>
      <c r="B9" s="1125" t="s">
        <v>204</v>
      </c>
      <c r="C9" s="900" t="s">
        <v>257</v>
      </c>
      <c r="D9" s="898" t="s">
        <v>251</v>
      </c>
      <c r="E9" s="900" t="s">
        <v>252</v>
      </c>
      <c r="F9" s="901" t="s">
        <v>253</v>
      </c>
      <c r="G9" s="1085" t="s">
        <v>254</v>
      </c>
      <c r="H9" s="529"/>
      <c r="I9" s="849" t="s">
        <v>255</v>
      </c>
      <c r="J9" s="851" t="s">
        <v>260</v>
      </c>
      <c r="K9" s="1023" t="s">
        <v>254</v>
      </c>
      <c r="L9" s="529"/>
      <c r="M9" s="754" t="s">
        <v>453</v>
      </c>
      <c r="N9" s="752">
        <v>0.01009</v>
      </c>
      <c r="O9" s="1121"/>
    </row>
    <row r="10" spans="1:18" s="530" customFormat="1" ht="12.75">
      <c r="A10" s="590"/>
      <c r="B10" s="1090"/>
      <c r="C10" s="897"/>
      <c r="D10" s="899"/>
      <c r="E10" s="897"/>
      <c r="F10" s="902"/>
      <c r="G10" s="1086"/>
      <c r="H10" s="529"/>
      <c r="I10" s="850"/>
      <c r="J10" s="852"/>
      <c r="K10" s="1116"/>
      <c r="L10" s="529"/>
      <c r="M10" s="754" t="s">
        <v>456</v>
      </c>
      <c r="N10" s="753">
        <v>0.01018</v>
      </c>
      <c r="O10" s="1121"/>
      <c r="R10" s="573"/>
    </row>
    <row r="11" spans="1:15" s="530" customFormat="1" ht="12.75">
      <c r="A11" s="590"/>
      <c r="B11" s="1090"/>
      <c r="C11" s="897"/>
      <c r="D11" s="899"/>
      <c r="E11" s="897"/>
      <c r="F11" s="902"/>
      <c r="G11" s="1086"/>
      <c r="H11" s="529"/>
      <c r="I11" s="850"/>
      <c r="J11" s="852"/>
      <c r="K11" s="1116"/>
      <c r="L11" s="529"/>
      <c r="M11" s="754" t="s">
        <v>305</v>
      </c>
      <c r="N11" s="752">
        <f>SUM(N9:N10)</f>
        <v>0.02027</v>
      </c>
      <c r="O11" s="1121"/>
    </row>
    <row r="12" spans="1:15" s="530" customFormat="1" ht="79.5" customHeight="1">
      <c r="A12" s="590"/>
      <c r="B12" s="1091"/>
      <c r="C12" s="1004"/>
      <c r="D12" s="1005"/>
      <c r="E12" s="1004"/>
      <c r="F12" s="1032"/>
      <c r="G12" s="1087"/>
      <c r="H12" s="529"/>
      <c r="I12" s="850"/>
      <c r="J12" s="1027"/>
      <c r="K12" s="1117"/>
      <c r="L12" s="529"/>
      <c r="M12" s="872" t="s">
        <v>417</v>
      </c>
      <c r="N12" s="1029"/>
      <c r="O12" s="1121"/>
    </row>
    <row r="13" spans="1:15" s="88" customFormat="1" ht="12.75">
      <c r="A13" s="590"/>
      <c r="B13" s="781" t="s">
        <v>231</v>
      </c>
      <c r="C13" s="781"/>
      <c r="D13" s="781"/>
      <c r="E13" s="781"/>
      <c r="F13" s="781"/>
      <c r="G13" s="867"/>
      <c r="H13" s="529"/>
      <c r="I13" s="1113"/>
      <c r="J13" s="880"/>
      <c r="K13" s="880"/>
      <c r="L13" s="372"/>
      <c r="M13" s="911"/>
      <c r="N13" s="796"/>
      <c r="O13" s="1121"/>
    </row>
    <row r="14" spans="1:15" s="88" customFormat="1" ht="12.75">
      <c r="A14" s="591"/>
      <c r="B14" s="109" t="s">
        <v>205</v>
      </c>
      <c r="C14" s="82"/>
      <c r="D14" s="384"/>
      <c r="E14" s="248">
        <f>+D14-C14</f>
        <v>0</v>
      </c>
      <c r="F14" s="385">
        <f>IF(+C14+D14=0,0,(IF(AND(+C14=0,D14&gt;0),1,(IF(AND(+C14&gt;0,D14=0),-1,+C14/+D14-1)))))</f>
        <v>0</v>
      </c>
      <c r="G14" s="533"/>
      <c r="H14" s="386"/>
      <c r="I14" s="387">
        <f>+'Provider Total Budget by Serv'!K17+'Provider Total Budget by Serv'!K29</f>
        <v>0</v>
      </c>
      <c r="J14" s="388">
        <f>IF(I14+C14=0,0,(IF(AND(I14=0,C14&gt;0),-1,(IF(AND(I14&gt;0,C14=0),1,+I14/C14-1)))))</f>
        <v>0</v>
      </c>
      <c r="K14" s="240"/>
      <c r="L14" s="386"/>
      <c r="M14" s="1115"/>
      <c r="N14" s="1058"/>
      <c r="O14" s="1121"/>
    </row>
    <row r="15" spans="1:15" s="88" customFormat="1" ht="12.75">
      <c r="A15" s="591"/>
      <c r="B15" s="110" t="s">
        <v>206</v>
      </c>
      <c r="C15" s="84"/>
      <c r="D15" s="390"/>
      <c r="E15" s="574">
        <f>+D15-C15</f>
        <v>0</v>
      </c>
      <c r="F15" s="392">
        <f>IF(+C15+D15=0,0,(IF(AND(+C15=0,D15&gt;0),1,(IF(AND(+C15&gt;0,D15=0),-1,+C15/+D15-1)))))</f>
        <v>0</v>
      </c>
      <c r="G15" s="535"/>
      <c r="H15" s="358"/>
      <c r="I15" s="192">
        <f>+'Provider Total Budget by Serv'!K36</f>
        <v>0</v>
      </c>
      <c r="J15" s="388">
        <f>IF(I15+C15=0,0,(IF(AND(I15=0,C15&gt;0),-1,(IF(AND(I15&gt;0,C15=0),1,+I15/C15-1)))))</f>
        <v>0</v>
      </c>
      <c r="K15" s="241"/>
      <c r="L15" s="358"/>
      <c r="M15" s="1059"/>
      <c r="N15" s="1060"/>
      <c r="O15" s="1121"/>
    </row>
    <row r="16" spans="1:15" s="88" customFormat="1" ht="12.75">
      <c r="A16" s="591"/>
      <c r="B16" s="110" t="s">
        <v>1</v>
      </c>
      <c r="C16" s="90">
        <f>SUM(C14:C15)</f>
        <v>0</v>
      </c>
      <c r="D16" s="393">
        <f>SUM(D14:D15)</f>
        <v>0</v>
      </c>
      <c r="E16" s="248">
        <f>+D16-C16</f>
        <v>0</v>
      </c>
      <c r="F16" s="394">
        <f>IF(+C16+D16=0,0,(IF(AND(+C16=0,D16&gt;0),1,(IF(AND(+C16&gt;0,D16=0),-1,+C16/+D16-1)))))</f>
        <v>0</v>
      </c>
      <c r="G16" s="536">
        <f>IF(AND(C16&gt;0,C$80&gt;0),+C16/C$80,0)</f>
        <v>0</v>
      </c>
      <c r="H16" s="358"/>
      <c r="I16" s="193">
        <f>SUM(I14:I15)</f>
        <v>0</v>
      </c>
      <c r="J16" s="537">
        <f>IF(I16+C16=0,0,(IF(AND(I16=0,C16&gt;0),-1,(IF(AND(I16&gt;0,C16=0),1,+I16/C16-1)))))</f>
        <v>0</v>
      </c>
      <c r="K16" s="575">
        <f>IF(AND(I16&gt;0,I$80&gt;0),+I16/I$80,0)</f>
        <v>0</v>
      </c>
      <c r="L16" s="358"/>
      <c r="M16" s="1061"/>
      <c r="N16" s="1062"/>
      <c r="O16" s="1121"/>
    </row>
    <row r="17" spans="1:15" s="88" customFormat="1" ht="12.75">
      <c r="A17" s="590"/>
      <c r="B17" s="781" t="s">
        <v>238</v>
      </c>
      <c r="C17" s="781"/>
      <c r="D17" s="781"/>
      <c r="E17" s="781"/>
      <c r="F17" s="781"/>
      <c r="G17" s="867"/>
      <c r="H17" s="358"/>
      <c r="I17" s="716"/>
      <c r="J17" s="531"/>
      <c r="K17" s="715"/>
      <c r="L17" s="372"/>
      <c r="M17" s="1123"/>
      <c r="N17" s="1124"/>
      <c r="O17" s="1121"/>
    </row>
    <row r="18" spans="1:15" s="88" customFormat="1" ht="12.75">
      <c r="A18" s="591"/>
      <c r="B18" s="108" t="s">
        <v>205</v>
      </c>
      <c r="C18" s="82"/>
      <c r="D18" s="401"/>
      <c r="E18" s="248">
        <f>+D18-C18</f>
        <v>0</v>
      </c>
      <c r="F18" s="385">
        <f>IF(+C18+D18=0,0,(IF(AND(+C18=0,D18&gt;0),1,(IF(AND(+C18&gt;0,D18=0),-1,+C18/+D18-1)))))</f>
        <v>0</v>
      </c>
      <c r="G18" s="539"/>
      <c r="H18" s="358"/>
      <c r="I18" s="190"/>
      <c r="J18" s="230"/>
      <c r="K18" s="241"/>
      <c r="L18" s="358"/>
      <c r="M18" s="1115"/>
      <c r="N18" s="1058"/>
      <c r="O18" s="1121"/>
    </row>
    <row r="19" spans="1:15" s="88" customFormat="1" ht="12.75">
      <c r="A19" s="591"/>
      <c r="B19" s="109" t="s">
        <v>206</v>
      </c>
      <c r="C19" s="83"/>
      <c r="D19" s="403"/>
      <c r="E19" s="248">
        <f>+D19-C19</f>
        <v>0</v>
      </c>
      <c r="F19" s="385">
        <f>IF(+C19+D19=0,0,(IF(AND(+C19=0,D19&gt;0),1,(IF(AND(+C19&gt;0,D19=0),-1,+C19/+D19-1)))))</f>
        <v>0</v>
      </c>
      <c r="G19" s="125"/>
      <c r="H19" s="358"/>
      <c r="I19" s="756"/>
      <c r="J19" s="204"/>
      <c r="K19" s="241"/>
      <c r="L19" s="358"/>
      <c r="M19" s="1059"/>
      <c r="N19" s="1060"/>
      <c r="O19" s="1121"/>
    </row>
    <row r="20" spans="1:15" s="88" customFormat="1" ht="12.75">
      <c r="A20" s="591"/>
      <c r="B20" s="109" t="s">
        <v>209</v>
      </c>
      <c r="C20" s="83"/>
      <c r="D20" s="403"/>
      <c r="E20" s="248">
        <f>+D20-C20</f>
        <v>0</v>
      </c>
      <c r="F20" s="385">
        <f>IF(+C20+D20=0,0,(IF(AND(+C20=0,D20&gt;0),1,(IF(AND(+C20&gt;0,D20=0),-1,+C20/+D20-1)))))</f>
        <v>0</v>
      </c>
      <c r="G20" s="125"/>
      <c r="H20" s="358"/>
      <c r="I20" s="191"/>
      <c r="J20" s="204"/>
      <c r="K20" s="241"/>
      <c r="L20" s="358"/>
      <c r="M20" s="1059"/>
      <c r="N20" s="1060"/>
      <c r="O20" s="1121"/>
    </row>
    <row r="21" spans="1:15" s="88" customFormat="1" ht="12.75">
      <c r="A21" s="591"/>
      <c r="B21" s="110" t="s">
        <v>207</v>
      </c>
      <c r="C21" s="84"/>
      <c r="D21" s="390"/>
      <c r="E21" s="574">
        <f>+D21-C21</f>
        <v>0</v>
      </c>
      <c r="F21" s="404">
        <f>IF(+C21+D21=0,0,(IF(AND(+C21=0,D21&gt;0),1,(IF(AND(+C21&gt;0,D21=0),-1,+C21/+D21-1)))))</f>
        <v>0</v>
      </c>
      <c r="G21" s="535"/>
      <c r="H21" s="358"/>
      <c r="I21" s="192"/>
      <c r="J21" s="205"/>
      <c r="K21" s="241"/>
      <c r="L21" s="358"/>
      <c r="M21" s="1059"/>
      <c r="N21" s="1060"/>
      <c r="O21" s="1121"/>
    </row>
    <row r="22" spans="1:15" s="88" customFormat="1" ht="12.75">
      <c r="A22" s="591"/>
      <c r="B22" s="110" t="s">
        <v>1</v>
      </c>
      <c r="C22" s="90">
        <f>SUM(C18:C21)</f>
        <v>0</v>
      </c>
      <c r="D22" s="393">
        <f>SUM(D18:D21)</f>
        <v>0</v>
      </c>
      <c r="E22" s="248">
        <f>+D22-C22</f>
        <v>0</v>
      </c>
      <c r="F22" s="394">
        <f>IF(+C22+D22=0,0,(IF(AND(+C22=0,D22&gt;0),1,(IF(AND(+C22&gt;0,D22=0),-1,+C22/+D22-1)))))</f>
        <v>0</v>
      </c>
      <c r="G22" s="535">
        <f>IF(AND(C22&gt;0,C$80&gt;0),+C22/C$80,0)</f>
        <v>0</v>
      </c>
      <c r="H22" s="358"/>
      <c r="I22" s="193">
        <f>SUM(I18:I21)</f>
        <v>0</v>
      </c>
      <c r="J22" s="233"/>
      <c r="K22" s="575">
        <f>IF(AND(I22&gt;0,I$80&gt;0),+I22/I$80,0)</f>
        <v>0</v>
      </c>
      <c r="L22" s="358"/>
      <c r="M22" s="1061"/>
      <c r="N22" s="1062"/>
      <c r="O22" s="1121"/>
    </row>
    <row r="23" spans="1:15" s="88" customFormat="1" ht="12.75" customHeight="1">
      <c r="A23" s="590"/>
      <c r="B23" s="781" t="s">
        <v>232</v>
      </c>
      <c r="C23" s="781"/>
      <c r="D23" s="781"/>
      <c r="E23" s="781"/>
      <c r="F23" s="781"/>
      <c r="G23" s="867"/>
      <c r="H23" s="358"/>
      <c r="I23" s="716"/>
      <c r="J23" s="531"/>
      <c r="K23" s="715"/>
      <c r="L23" s="372"/>
      <c r="M23" s="1118"/>
      <c r="N23" s="1119"/>
      <c r="O23" s="1121"/>
    </row>
    <row r="24" spans="1:15" s="88" customFormat="1" ht="12.75">
      <c r="A24" s="591"/>
      <c r="B24" s="109" t="s">
        <v>207</v>
      </c>
      <c r="C24" s="82"/>
      <c r="D24" s="405"/>
      <c r="E24" s="248">
        <f>+D24-C24</f>
        <v>0</v>
      </c>
      <c r="F24" s="124">
        <f>IF(+C24+D24=0,0,(IF(AND(+C24=0,D24&gt;0),1,(IF(AND(+C24&gt;0,D24=0),-1,+C24/+D24-1)))))</f>
        <v>0</v>
      </c>
      <c r="G24" s="539"/>
      <c r="H24" s="358"/>
      <c r="I24" s="191">
        <f>+'Provider Total Budget by Serv'!K43</f>
        <v>0</v>
      </c>
      <c r="J24" s="388">
        <f>IF(I24+C24=0,0,(IF(AND(I24=0,C24&gt;0),-1,(IF(AND(I24&gt;0,C24=0),1,+I24/C24-1)))))</f>
        <v>0</v>
      </c>
      <c r="K24" s="241"/>
      <c r="L24" s="358"/>
      <c r="M24" s="1115"/>
      <c r="N24" s="1058"/>
      <c r="O24" s="1121"/>
    </row>
    <row r="25" spans="1:15" s="88" customFormat="1" ht="12.75">
      <c r="A25" s="591"/>
      <c r="B25" s="109" t="s">
        <v>208</v>
      </c>
      <c r="C25" s="83"/>
      <c r="D25" s="122"/>
      <c r="E25" s="248">
        <f>+D25-C25</f>
        <v>0</v>
      </c>
      <c r="F25" s="124">
        <f>IF(+C25+D25=0,0,(IF(AND(+C25=0,D25&gt;0),1,(IF(AND(+C25&gt;0,D25=0),-1,+C25/+D25-1)))))</f>
        <v>0</v>
      </c>
      <c r="G25" s="125"/>
      <c r="H25" s="358"/>
      <c r="I25" s="576">
        <f>+'Provider Total Budget by Serv'!K48</f>
        <v>0</v>
      </c>
      <c r="J25" s="388">
        <f>IF(I25+C25=0,0,(IF(AND(I25=0,C25&gt;0),-1,(IF(AND(I25&gt;0,C25=0),1,+I25/C25-1)))))</f>
        <v>0</v>
      </c>
      <c r="K25" s="241"/>
      <c r="L25" s="358"/>
      <c r="M25" s="1059"/>
      <c r="N25" s="1060"/>
      <c r="O25" s="1121"/>
    </row>
    <row r="26" spans="1:15" s="88" customFormat="1" ht="12.75">
      <c r="A26" s="591"/>
      <c r="B26" s="110" t="s">
        <v>209</v>
      </c>
      <c r="C26" s="84"/>
      <c r="D26" s="390"/>
      <c r="E26" s="574">
        <f>+D26-C26</f>
        <v>0</v>
      </c>
      <c r="F26" s="392">
        <f>IF(+C26+D26=0,0,(IF(AND(+C26=0,D26&gt;0),1,(IF(AND(+C26&gt;0,D26=0),-1,+C26/+D26-1)))))</f>
        <v>0</v>
      </c>
      <c r="G26" s="535"/>
      <c r="H26" s="358"/>
      <c r="I26" s="192">
        <f>+'Provider Total Budget by Serv'!K53</f>
        <v>0</v>
      </c>
      <c r="J26" s="388">
        <f>IF(I26+C26=0,0,(IF(AND(I26=0,C26&gt;0),-1,(IF(AND(I26&gt;0,C26=0),1,+I26/C26-1)))))</f>
        <v>0</v>
      </c>
      <c r="K26" s="241"/>
      <c r="L26" s="358"/>
      <c r="M26" s="1059"/>
      <c r="N26" s="1060"/>
      <c r="O26" s="1121"/>
    </row>
    <row r="27" spans="1:15" s="88" customFormat="1" ht="12.75">
      <c r="A27" s="591"/>
      <c r="B27" s="110" t="s">
        <v>1</v>
      </c>
      <c r="C27" s="90">
        <f>SUM(C24:C26)</f>
        <v>0</v>
      </c>
      <c r="D27" s="91">
        <f>SUM(D24:D26)</f>
        <v>0</v>
      </c>
      <c r="E27" s="248">
        <f>+D27-C27</f>
        <v>0</v>
      </c>
      <c r="F27" s="394">
        <f>IF(+C27+D27=0,0,(IF(AND(+C27=0,D27&gt;0),1,(IF(AND(+C27&gt;0,D27=0),-1,+C27/+D27-1)))))</f>
        <v>0</v>
      </c>
      <c r="G27" s="535">
        <f>IF(AND(C27&gt;0,C$80&gt;0),+C27/C$80,0)</f>
        <v>0</v>
      </c>
      <c r="H27" s="358"/>
      <c r="I27" s="193">
        <f>SUM(I24:I26)</f>
        <v>0</v>
      </c>
      <c r="J27" s="537">
        <f>IF(I27+C27=0,0,(IF(AND(I27=0,C27&gt;0),-1,(IF(AND(I27&gt;0,C27=0),1,+I27/C27-1)))))</f>
        <v>0</v>
      </c>
      <c r="K27" s="575">
        <f>IF(AND(I27&gt;0,I$80&gt;0),+I27/I$80,0)</f>
        <v>0</v>
      </c>
      <c r="L27" s="358"/>
      <c r="M27" s="1061"/>
      <c r="N27" s="1062"/>
      <c r="O27" s="1121"/>
    </row>
    <row r="28" spans="1:15" s="88" customFormat="1" ht="12.75">
      <c r="A28" s="590"/>
      <c r="B28" s="781" t="s">
        <v>233</v>
      </c>
      <c r="C28" s="781"/>
      <c r="D28" s="781"/>
      <c r="E28" s="781"/>
      <c r="F28" s="781"/>
      <c r="G28" s="867"/>
      <c r="H28" s="358"/>
      <c r="I28" s="716"/>
      <c r="J28" s="504"/>
      <c r="K28" s="715"/>
      <c r="L28" s="372"/>
      <c r="M28" s="1118"/>
      <c r="N28" s="1119"/>
      <c r="O28" s="1121"/>
    </row>
    <row r="29" spans="1:15" s="88" customFormat="1" ht="12.75">
      <c r="A29" s="591"/>
      <c r="B29" s="109" t="s">
        <v>20</v>
      </c>
      <c r="C29" s="82"/>
      <c r="D29" s="122"/>
      <c r="E29" s="248">
        <f aca="true" t="shared" si="0" ref="E29:E35">+D29-C29</f>
        <v>0</v>
      </c>
      <c r="F29" s="124">
        <f aca="true" t="shared" si="1" ref="F29:F35">IF(+C29+D29=0,0,(IF(AND(+C29=0,D29&gt;0),1,(IF(AND(+C29&gt;0,D29=0),-1,+C29/+D29-1)))))</f>
        <v>0</v>
      </c>
      <c r="G29" s="539"/>
      <c r="H29" s="358"/>
      <c r="I29" s="191">
        <f>+'Provider Total Budget by Serv'!K61</f>
        <v>0</v>
      </c>
      <c r="J29" s="388">
        <f aca="true" t="shared" si="2" ref="J29:J35">IF(I29+C29=0,0,(IF(AND(I29=0,C29&gt;0),-1,(IF(AND(I29&gt;0,C29=0),1,+I29/C29-1)))))</f>
        <v>0</v>
      </c>
      <c r="K29" s="241"/>
      <c r="L29" s="358"/>
      <c r="M29" s="1115"/>
      <c r="N29" s="1058"/>
      <c r="O29" s="1121"/>
    </row>
    <row r="30" spans="1:15" s="88" customFormat="1" ht="12.75">
      <c r="A30" s="591"/>
      <c r="B30" s="121" t="s">
        <v>244</v>
      </c>
      <c r="C30" s="83"/>
      <c r="D30" s="122"/>
      <c r="E30" s="248">
        <f t="shared" si="0"/>
        <v>0</v>
      </c>
      <c r="F30" s="124">
        <f t="shared" si="1"/>
        <v>0</v>
      </c>
      <c r="G30" s="125"/>
      <c r="H30" s="358"/>
      <c r="I30" s="191">
        <f>+'Provider Total Budget by Serv'!K68</f>
        <v>0</v>
      </c>
      <c r="J30" s="388">
        <f t="shared" si="2"/>
        <v>0</v>
      </c>
      <c r="K30" s="241"/>
      <c r="L30" s="358"/>
      <c r="M30" s="1059"/>
      <c r="N30" s="1060"/>
      <c r="O30" s="1121"/>
    </row>
    <row r="31" spans="1:15" s="88" customFormat="1" ht="12.75">
      <c r="A31" s="591"/>
      <c r="B31" s="109" t="s">
        <v>21</v>
      </c>
      <c r="C31" s="83"/>
      <c r="D31" s="122"/>
      <c r="E31" s="248">
        <f t="shared" si="0"/>
        <v>0</v>
      </c>
      <c r="F31" s="124">
        <f t="shared" si="1"/>
        <v>0</v>
      </c>
      <c r="G31" s="125"/>
      <c r="H31" s="358"/>
      <c r="I31" s="191">
        <f>+'Provider Total Budget by Serv'!K73</f>
        <v>0</v>
      </c>
      <c r="J31" s="388">
        <f t="shared" si="2"/>
        <v>0</v>
      </c>
      <c r="K31" s="241"/>
      <c r="L31" s="358"/>
      <c r="M31" s="1059"/>
      <c r="N31" s="1060"/>
      <c r="O31" s="1121"/>
    </row>
    <row r="32" spans="1:15" s="88" customFormat="1" ht="12.75">
      <c r="A32" s="591"/>
      <c r="B32" s="109" t="s">
        <v>216</v>
      </c>
      <c r="C32" s="83"/>
      <c r="D32" s="122"/>
      <c r="E32" s="248">
        <f t="shared" si="0"/>
        <v>0</v>
      </c>
      <c r="F32" s="254">
        <f t="shared" si="1"/>
        <v>0</v>
      </c>
      <c r="G32" s="389"/>
      <c r="H32" s="358"/>
      <c r="I32" s="191">
        <f>+'Provider Total Budget by Serv'!K78</f>
        <v>0</v>
      </c>
      <c r="J32" s="388">
        <f t="shared" si="2"/>
        <v>0</v>
      </c>
      <c r="K32" s="241"/>
      <c r="L32" s="358"/>
      <c r="M32" s="1059"/>
      <c r="N32" s="1060"/>
      <c r="O32" s="1121"/>
    </row>
    <row r="33" spans="1:15" s="88" customFormat="1" ht="12.75">
      <c r="A33" s="591"/>
      <c r="B33" s="109" t="s">
        <v>217</v>
      </c>
      <c r="C33" s="83"/>
      <c r="D33" s="122"/>
      <c r="E33" s="248">
        <f t="shared" si="0"/>
        <v>0</v>
      </c>
      <c r="F33" s="254">
        <f t="shared" si="1"/>
        <v>0</v>
      </c>
      <c r="G33" s="125"/>
      <c r="H33" s="358"/>
      <c r="I33" s="191">
        <f>+'Provider Total Budget by Serv'!K87</f>
        <v>0</v>
      </c>
      <c r="J33" s="388">
        <f t="shared" si="2"/>
        <v>0</v>
      </c>
      <c r="K33" s="241"/>
      <c r="L33" s="358"/>
      <c r="M33" s="1059"/>
      <c r="N33" s="1060"/>
      <c r="O33" s="1121"/>
    </row>
    <row r="34" spans="1:15" s="88" customFormat="1" ht="12.75">
      <c r="A34" s="591"/>
      <c r="B34" s="110" t="s">
        <v>220</v>
      </c>
      <c r="C34" s="84"/>
      <c r="D34" s="407"/>
      <c r="E34" s="574">
        <f t="shared" si="0"/>
        <v>0</v>
      </c>
      <c r="F34" s="408">
        <f t="shared" si="1"/>
        <v>0</v>
      </c>
      <c r="G34" s="535"/>
      <c r="H34" s="358"/>
      <c r="I34" s="192">
        <f>+'Provider Total Budget by Serv'!K92</f>
        <v>0</v>
      </c>
      <c r="J34" s="388">
        <f t="shared" si="2"/>
        <v>0</v>
      </c>
      <c r="K34" s="241"/>
      <c r="L34" s="358"/>
      <c r="M34" s="1059"/>
      <c r="N34" s="1060"/>
      <c r="O34" s="1121"/>
    </row>
    <row r="35" spans="1:15" s="88" customFormat="1" ht="12.75">
      <c r="A35" s="591"/>
      <c r="B35" s="110" t="s">
        <v>1</v>
      </c>
      <c r="C35" s="90">
        <f>SUM(C29:C34)</f>
        <v>0</v>
      </c>
      <c r="D35" s="91">
        <f>SUM(D29:D34)</f>
        <v>0</v>
      </c>
      <c r="E35" s="248">
        <f t="shared" si="0"/>
        <v>0</v>
      </c>
      <c r="F35" s="394">
        <f t="shared" si="1"/>
        <v>0</v>
      </c>
      <c r="G35" s="535">
        <f>IF(AND(C35&gt;0,C$80&gt;0),+C35/C$80,0)</f>
        <v>0</v>
      </c>
      <c r="H35" s="358"/>
      <c r="I35" s="193">
        <f>SUM(I29:I34)</f>
        <v>0</v>
      </c>
      <c r="J35" s="537">
        <f t="shared" si="2"/>
        <v>0</v>
      </c>
      <c r="K35" s="575">
        <f>IF(AND(I35&gt;0,I$80&gt;0),+I35/I$80,0)</f>
        <v>0</v>
      </c>
      <c r="L35" s="358"/>
      <c r="M35" s="1061"/>
      <c r="N35" s="1062"/>
      <c r="O35" s="1121"/>
    </row>
    <row r="36" spans="1:15" s="88" customFormat="1" ht="12.75">
      <c r="A36" s="590"/>
      <c r="B36" s="781" t="s">
        <v>234</v>
      </c>
      <c r="C36" s="781"/>
      <c r="D36" s="781"/>
      <c r="E36" s="781"/>
      <c r="F36" s="781"/>
      <c r="G36" s="867"/>
      <c r="H36" s="358"/>
      <c r="I36" s="716"/>
      <c r="J36" s="531"/>
      <c r="K36" s="715"/>
      <c r="L36" s="372"/>
      <c r="M36" s="1118"/>
      <c r="N36" s="1119"/>
      <c r="O36" s="1121"/>
    </row>
    <row r="37" spans="1:15" s="88" customFormat="1" ht="12.75">
      <c r="A37" s="591"/>
      <c r="B37" s="109" t="s">
        <v>210</v>
      </c>
      <c r="C37" s="82"/>
      <c r="D37" s="122"/>
      <c r="E37" s="248">
        <f>+D37-C37</f>
        <v>0</v>
      </c>
      <c r="F37" s="124">
        <f>IF(+C37+D37=0,0,(IF(AND(+C37=0,D37&gt;0),1,(IF(AND(+C37&gt;0,D37=0),-1,+C37/+D37-1)))))</f>
        <v>0</v>
      </c>
      <c r="G37" s="389"/>
      <c r="H37" s="358"/>
      <c r="I37" s="191">
        <f>+'Provider Total Budget by Serv'!K99</f>
        <v>0</v>
      </c>
      <c r="J37" s="388">
        <f>IF(I37+C37=0,0,(IF(AND(I37=0,C37&gt;0),-1,(IF(AND(I37&gt;0,C37=0),1,+I37/C37-1)))))</f>
        <v>0</v>
      </c>
      <c r="K37" s="241"/>
      <c r="L37" s="358"/>
      <c r="M37" s="1115"/>
      <c r="N37" s="1058"/>
      <c r="O37" s="1121"/>
    </row>
    <row r="38" spans="1:15" s="88" customFormat="1" ht="12.75">
      <c r="A38" s="591"/>
      <c r="B38" s="109" t="s">
        <v>4</v>
      </c>
      <c r="C38" s="83"/>
      <c r="D38" s="122"/>
      <c r="E38" s="248">
        <f>+D38-C38</f>
        <v>0</v>
      </c>
      <c r="F38" s="124">
        <f>IF(+C38+D38=0,0,(IF(AND(+C38=0,D38&gt;0),1,(IF(AND(+C38&gt;0,D38=0),-1,+C38/+D38-1)))))</f>
        <v>0</v>
      </c>
      <c r="G38" s="125"/>
      <c r="H38" s="358"/>
      <c r="I38" s="191">
        <f>+'Provider Total Budget by Serv'!K104</f>
        <v>0</v>
      </c>
      <c r="J38" s="388">
        <f>IF(I38+C38=0,0,(IF(AND(I38=0,C38&gt;0),-1,(IF(AND(I38&gt;0,C38=0),1,+I38/C38-1)))))</f>
        <v>0</v>
      </c>
      <c r="K38" s="241"/>
      <c r="L38" s="358"/>
      <c r="M38" s="1059"/>
      <c r="N38" s="1060"/>
      <c r="O38" s="1121"/>
    </row>
    <row r="39" spans="1:15" s="88" customFormat="1" ht="12.75">
      <c r="A39" s="591"/>
      <c r="B39" s="109" t="s">
        <v>211</v>
      </c>
      <c r="C39" s="83"/>
      <c r="D39" s="122"/>
      <c r="E39" s="248">
        <f>+D39-C39</f>
        <v>0</v>
      </c>
      <c r="F39" s="124">
        <f>IF(+C39+D39=0,0,(IF(AND(+C39=0,D39&gt;0),1,(IF(AND(+C39&gt;0,D39=0),-1,+C39/+D39-1)))))</f>
        <v>0</v>
      </c>
      <c r="G39" s="125"/>
      <c r="H39" s="358"/>
      <c r="I39" s="191">
        <f>+'Provider Total Budget by Serv'!K109</f>
        <v>0</v>
      </c>
      <c r="J39" s="388">
        <f>IF(I39+C39=0,0,(IF(AND(I39=0,C39&gt;0),-1,(IF(AND(I39&gt;0,C39=0),1,+I39/C39-1)))))</f>
        <v>0</v>
      </c>
      <c r="K39" s="241"/>
      <c r="L39" s="358"/>
      <c r="M39" s="1059"/>
      <c r="N39" s="1060"/>
      <c r="O39" s="1121"/>
    </row>
    <row r="40" spans="1:15" s="88" customFormat="1" ht="12.75">
      <c r="A40" s="591"/>
      <c r="B40" s="110" t="s">
        <v>212</v>
      </c>
      <c r="C40" s="84"/>
      <c r="D40" s="390"/>
      <c r="E40" s="574">
        <f>+D40-C40</f>
        <v>0</v>
      </c>
      <c r="F40" s="392">
        <f>IF(+C40+D40=0,0,(IF(AND(+C40=0,D40&gt;0),1,(IF(AND(+C40&gt;0,D40=0),-1,+C40/+D40-1)))))</f>
        <v>0</v>
      </c>
      <c r="G40" s="535"/>
      <c r="H40" s="358"/>
      <c r="I40" s="192">
        <f>+'Provider Total Budget by Serv'!K114</f>
        <v>0</v>
      </c>
      <c r="J40" s="388">
        <f>IF(I40+C40=0,0,(IF(AND(I40=0,C40&gt;0),-1,(IF(AND(I40&gt;0,C40=0),1,+I40/C40-1)))))</f>
        <v>0</v>
      </c>
      <c r="K40" s="241"/>
      <c r="L40" s="358"/>
      <c r="M40" s="1059"/>
      <c r="N40" s="1060"/>
      <c r="O40" s="1121"/>
    </row>
    <row r="41" spans="1:15" s="88" customFormat="1" ht="12.75">
      <c r="A41" s="591"/>
      <c r="B41" s="110" t="s">
        <v>1</v>
      </c>
      <c r="C41" s="90">
        <f>SUM(C37:C40)</f>
        <v>0</v>
      </c>
      <c r="D41" s="91">
        <f>SUM(D37:D40)</f>
        <v>0</v>
      </c>
      <c r="E41" s="248">
        <f>+D41-C41</f>
        <v>0</v>
      </c>
      <c r="F41" s="394">
        <f>IF(+C41+D41=0,0,(IF(AND(+C41=0,D41&gt;0),1,(IF(AND(+C41&gt;0,D41=0),-1,+C41/+D41-1)))))</f>
        <v>0</v>
      </c>
      <c r="G41" s="535">
        <f>IF(AND(C41&gt;0,C$80&gt;0),+C41/C$80,0)</f>
        <v>0</v>
      </c>
      <c r="H41" s="358"/>
      <c r="I41" s="193">
        <f>SUM(I37:I40)</f>
        <v>0</v>
      </c>
      <c r="J41" s="537">
        <f>IF(I41+C41=0,0,(IF(AND(I41=0,C41&gt;0),-1,(IF(AND(I41&gt;0,C41=0),1,+I41/C41-1)))))</f>
        <v>0</v>
      </c>
      <c r="K41" s="575">
        <f>IF(AND(I41&gt;0,I$80&gt;0),+I41/I$80,0)</f>
        <v>0</v>
      </c>
      <c r="L41" s="358"/>
      <c r="M41" s="1061"/>
      <c r="N41" s="1062"/>
      <c r="O41" s="1121"/>
    </row>
    <row r="42" spans="1:15" s="88" customFormat="1" ht="12.75">
      <c r="A42" s="590"/>
      <c r="B42" s="781" t="s">
        <v>235</v>
      </c>
      <c r="C42" s="781"/>
      <c r="D42" s="781"/>
      <c r="E42" s="781"/>
      <c r="F42" s="781"/>
      <c r="G42" s="867"/>
      <c r="H42" s="358"/>
      <c r="I42" s="687"/>
      <c r="J42" s="504"/>
      <c r="K42" s="684"/>
      <c r="L42" s="372"/>
      <c r="M42" s="1118"/>
      <c r="N42" s="1119"/>
      <c r="O42" s="1121"/>
    </row>
    <row r="43" spans="1:15" s="88" customFormat="1" ht="12.75">
      <c r="A43" s="591"/>
      <c r="B43" s="109" t="s">
        <v>6</v>
      </c>
      <c r="C43" s="82"/>
      <c r="D43" s="122"/>
      <c r="E43" s="248">
        <f aca="true" t="shared" si="3" ref="E43:E52">+D43-C43</f>
        <v>0</v>
      </c>
      <c r="F43" s="124">
        <f aca="true" t="shared" si="4" ref="F43:F52">IF(+C43+D43=0,0,(IF(AND(+C43=0,D43&gt;0),1,(IF(AND(+C43&gt;0,D43=0),-1,+C43/+D43-1)))))</f>
        <v>0</v>
      </c>
      <c r="G43" s="125"/>
      <c r="H43" s="358"/>
      <c r="I43" s="387">
        <f>+'Provider Total Budget by Serv'!K121</f>
        <v>0</v>
      </c>
      <c r="J43" s="388">
        <f aca="true" t="shared" si="5" ref="J43:J52">IF(I43+C43=0,0,(IF(AND(I43=0,C43&gt;0),-1,(IF(AND(I43&gt;0,C43=0),1,+I43/C43-1)))))</f>
        <v>0</v>
      </c>
      <c r="K43" s="241"/>
      <c r="L43" s="358"/>
      <c r="M43" s="1115"/>
      <c r="N43" s="1058"/>
      <c r="O43" s="1121"/>
    </row>
    <row r="44" spans="1:15" s="88" customFormat="1" ht="12.75">
      <c r="A44" s="591"/>
      <c r="B44" s="109" t="s">
        <v>7</v>
      </c>
      <c r="C44" s="83"/>
      <c r="D44" s="122"/>
      <c r="E44" s="248">
        <f t="shared" si="3"/>
        <v>0</v>
      </c>
      <c r="F44" s="124">
        <f t="shared" si="4"/>
        <v>0</v>
      </c>
      <c r="G44" s="125"/>
      <c r="H44" s="358"/>
      <c r="I44" s="191">
        <f>+'Provider Total Budget by Serv'!K126</f>
        <v>0</v>
      </c>
      <c r="J44" s="388">
        <f t="shared" si="5"/>
        <v>0</v>
      </c>
      <c r="K44" s="241"/>
      <c r="L44" s="358"/>
      <c r="M44" s="1059"/>
      <c r="N44" s="1060"/>
      <c r="O44" s="1121"/>
    </row>
    <row r="45" spans="1:15" s="88" customFormat="1" ht="12.75">
      <c r="A45" s="591"/>
      <c r="B45" s="109" t="s">
        <v>210</v>
      </c>
      <c r="C45" s="83"/>
      <c r="D45" s="122"/>
      <c r="E45" s="248">
        <f t="shared" si="3"/>
        <v>0</v>
      </c>
      <c r="F45" s="124">
        <f t="shared" si="4"/>
        <v>0</v>
      </c>
      <c r="G45" s="389"/>
      <c r="H45" s="358"/>
      <c r="I45" s="191">
        <f>+'Provider Total Budget by Serv'!K131</f>
        <v>0</v>
      </c>
      <c r="J45" s="388">
        <f t="shared" si="5"/>
        <v>0</v>
      </c>
      <c r="K45" s="241"/>
      <c r="L45" s="358"/>
      <c r="M45" s="1059"/>
      <c r="N45" s="1060"/>
      <c r="O45" s="1121"/>
    </row>
    <row r="46" spans="1:15" s="88" customFormat="1" ht="12.75">
      <c r="A46" s="591"/>
      <c r="B46" s="109" t="s">
        <v>39</v>
      </c>
      <c r="C46" s="83"/>
      <c r="D46" s="122"/>
      <c r="E46" s="248">
        <f t="shared" si="3"/>
        <v>0</v>
      </c>
      <c r="F46" s="124">
        <f t="shared" si="4"/>
        <v>0</v>
      </c>
      <c r="G46" s="125"/>
      <c r="H46" s="358"/>
      <c r="I46" s="191">
        <f>+'Provider Total Budget by Serv'!K136</f>
        <v>0</v>
      </c>
      <c r="J46" s="388">
        <f t="shared" si="5"/>
        <v>0</v>
      </c>
      <c r="K46" s="241"/>
      <c r="L46" s="358"/>
      <c r="M46" s="1059"/>
      <c r="N46" s="1060"/>
      <c r="O46" s="1121"/>
    </row>
    <row r="47" spans="1:15" s="88" customFormat="1" ht="12.75">
      <c r="A47" s="591"/>
      <c r="B47" s="109" t="s">
        <v>213</v>
      </c>
      <c r="C47" s="83"/>
      <c r="D47" s="122"/>
      <c r="E47" s="248">
        <f t="shared" si="3"/>
        <v>0</v>
      </c>
      <c r="F47" s="124">
        <f t="shared" si="4"/>
        <v>0</v>
      </c>
      <c r="G47" s="125"/>
      <c r="H47" s="358"/>
      <c r="I47" s="191">
        <f>+'Provider Total Budget by Serv'!K141</f>
        <v>0</v>
      </c>
      <c r="J47" s="388">
        <f t="shared" si="5"/>
        <v>0</v>
      </c>
      <c r="K47" s="241"/>
      <c r="L47" s="358"/>
      <c r="M47" s="1059"/>
      <c r="N47" s="1060"/>
      <c r="O47" s="1121"/>
    </row>
    <row r="48" spans="1:15" s="88" customFormat="1" ht="12.75">
      <c r="A48" s="591"/>
      <c r="B48" s="109" t="s">
        <v>8</v>
      </c>
      <c r="C48" s="83"/>
      <c r="D48" s="122"/>
      <c r="E48" s="248">
        <f t="shared" si="3"/>
        <v>0</v>
      </c>
      <c r="F48" s="124">
        <f t="shared" si="4"/>
        <v>0</v>
      </c>
      <c r="G48" s="389"/>
      <c r="H48" s="358"/>
      <c r="I48" s="191">
        <f>+'Provider Total Budget by Serv'!K146</f>
        <v>0</v>
      </c>
      <c r="J48" s="388">
        <f t="shared" si="5"/>
        <v>0</v>
      </c>
      <c r="K48" s="241"/>
      <c r="L48" s="358"/>
      <c r="M48" s="1059"/>
      <c r="N48" s="1060"/>
      <c r="O48" s="1121"/>
    </row>
    <row r="49" spans="1:15" s="88" customFormat="1" ht="12.75">
      <c r="A49" s="591"/>
      <c r="B49" s="109" t="s">
        <v>9</v>
      </c>
      <c r="C49" s="83"/>
      <c r="D49" s="122"/>
      <c r="E49" s="248">
        <f t="shared" si="3"/>
        <v>0</v>
      </c>
      <c r="F49" s="124">
        <f t="shared" si="4"/>
        <v>0</v>
      </c>
      <c r="G49" s="125"/>
      <c r="H49" s="358"/>
      <c r="I49" s="191">
        <f>+'Provider Total Budget by Serv'!K151</f>
        <v>0</v>
      </c>
      <c r="J49" s="388">
        <f t="shared" si="5"/>
        <v>0</v>
      </c>
      <c r="K49" s="241"/>
      <c r="L49" s="358"/>
      <c r="M49" s="1059"/>
      <c r="N49" s="1060"/>
      <c r="O49" s="1121"/>
    </row>
    <row r="50" spans="1:15" s="88" customFormat="1" ht="12.75">
      <c r="A50" s="591"/>
      <c r="B50" s="109" t="s">
        <v>214</v>
      </c>
      <c r="C50" s="83"/>
      <c r="D50" s="122"/>
      <c r="E50" s="248">
        <f t="shared" si="3"/>
        <v>0</v>
      </c>
      <c r="F50" s="124">
        <f t="shared" si="4"/>
        <v>0</v>
      </c>
      <c r="G50" s="125"/>
      <c r="H50" s="358"/>
      <c r="I50" s="191">
        <f>+'Provider Total Budget by Serv'!K156</f>
        <v>0</v>
      </c>
      <c r="J50" s="388">
        <f t="shared" si="5"/>
        <v>0</v>
      </c>
      <c r="K50" s="241"/>
      <c r="L50" s="358"/>
      <c r="M50" s="1059"/>
      <c r="N50" s="1060"/>
      <c r="O50" s="1121"/>
    </row>
    <row r="51" spans="1:15" s="88" customFormat="1" ht="12.75">
      <c r="A51" s="591"/>
      <c r="B51" s="110" t="s">
        <v>215</v>
      </c>
      <c r="C51" s="84"/>
      <c r="D51" s="390"/>
      <c r="E51" s="574">
        <f t="shared" si="3"/>
        <v>0</v>
      </c>
      <c r="F51" s="392">
        <f t="shared" si="4"/>
        <v>0</v>
      </c>
      <c r="G51" s="535"/>
      <c r="H51" s="358"/>
      <c r="I51" s="192">
        <f>+'Provider Total Budget by Serv'!K161</f>
        <v>0</v>
      </c>
      <c r="J51" s="388">
        <f t="shared" si="5"/>
        <v>0</v>
      </c>
      <c r="K51" s="241"/>
      <c r="L51" s="358"/>
      <c r="M51" s="1059"/>
      <c r="N51" s="1060"/>
      <c r="O51" s="1121"/>
    </row>
    <row r="52" spans="1:15" s="88" customFormat="1" ht="12.75">
      <c r="A52" s="591"/>
      <c r="B52" s="110" t="s">
        <v>1</v>
      </c>
      <c r="C52" s="90">
        <f>SUM(C43:C51)</f>
        <v>0</v>
      </c>
      <c r="D52" s="91">
        <f>SUM(D43:D51)</f>
        <v>0</v>
      </c>
      <c r="E52" s="248">
        <f t="shared" si="3"/>
        <v>0</v>
      </c>
      <c r="F52" s="394">
        <f t="shared" si="4"/>
        <v>0</v>
      </c>
      <c r="G52" s="535">
        <f>IF(AND(C52&gt;0,C$80&gt;0),+C52/C$80,0)</f>
        <v>0</v>
      </c>
      <c r="H52" s="358"/>
      <c r="I52" s="193">
        <f>SUM(I43:I51)</f>
        <v>0</v>
      </c>
      <c r="J52" s="537">
        <f t="shared" si="5"/>
        <v>0</v>
      </c>
      <c r="K52" s="575">
        <f>IF(AND(I52&gt;0,I$80&gt;0),+I52/I$80,0)</f>
        <v>0</v>
      </c>
      <c r="L52" s="358"/>
      <c r="M52" s="1061"/>
      <c r="N52" s="1062"/>
      <c r="O52" s="1121"/>
    </row>
    <row r="53" spans="1:15" s="88" customFormat="1" ht="12.75">
      <c r="A53" s="590"/>
      <c r="B53" s="781" t="s">
        <v>236</v>
      </c>
      <c r="C53" s="781"/>
      <c r="D53" s="781"/>
      <c r="E53" s="781"/>
      <c r="F53" s="781"/>
      <c r="G53" s="867"/>
      <c r="H53" s="358"/>
      <c r="I53" s="687"/>
      <c r="J53" s="531"/>
      <c r="K53" s="684"/>
      <c r="L53" s="372"/>
      <c r="M53" s="1118"/>
      <c r="N53" s="1119"/>
      <c r="O53" s="1121"/>
    </row>
    <row r="54" spans="1:15" s="88" customFormat="1" ht="12.75">
      <c r="A54" s="591"/>
      <c r="B54" s="109" t="s">
        <v>27</v>
      </c>
      <c r="C54" s="82"/>
      <c r="D54" s="122"/>
      <c r="E54" s="248">
        <f aca="true" t="shared" si="6" ref="E54:E62">+D54-C54</f>
        <v>0</v>
      </c>
      <c r="F54" s="124">
        <f aca="true" t="shared" si="7" ref="F54:F62">IF(+C54+D54=0,0,(IF(AND(+C54=0,D54&gt;0),1,(IF(AND(+C54&gt;0,D54=0),-1,+C54/+D54-1)))))</f>
        <v>0</v>
      </c>
      <c r="G54" s="540"/>
      <c r="H54" s="358"/>
      <c r="I54" s="191">
        <f>+'Provider Total Budget by Serv'!K168</f>
        <v>0</v>
      </c>
      <c r="J54" s="388">
        <f aca="true" t="shared" si="8" ref="J54:J62">IF(I54+C54=0,0,(IF(AND(I54=0,C54&gt;0),-1,(IF(AND(I54&gt;0,C54=0),1,+I54/C54-1)))))</f>
        <v>0</v>
      </c>
      <c r="K54" s="241"/>
      <c r="L54" s="358"/>
      <c r="M54" s="1115"/>
      <c r="N54" s="1058"/>
      <c r="O54" s="1121"/>
    </row>
    <row r="55" spans="1:15" s="88" customFormat="1" ht="12.75">
      <c r="A55" s="591"/>
      <c r="B55" s="109" t="s">
        <v>22</v>
      </c>
      <c r="C55" s="83"/>
      <c r="D55" s="122"/>
      <c r="E55" s="248">
        <f t="shared" si="6"/>
        <v>0</v>
      </c>
      <c r="F55" s="124">
        <f t="shared" si="7"/>
        <v>0</v>
      </c>
      <c r="G55" s="241"/>
      <c r="H55" s="358"/>
      <c r="I55" s="191">
        <f>+'Provider Total Budget by Serv'!K173</f>
        <v>0</v>
      </c>
      <c r="J55" s="388">
        <f t="shared" si="8"/>
        <v>0</v>
      </c>
      <c r="K55" s="241"/>
      <c r="L55" s="358"/>
      <c r="M55" s="1059"/>
      <c r="N55" s="1060"/>
      <c r="O55" s="1121"/>
    </row>
    <row r="56" spans="1:15" s="88" customFormat="1" ht="12.75">
      <c r="A56" s="591"/>
      <c r="B56" s="109" t="s">
        <v>23</v>
      </c>
      <c r="C56" s="83"/>
      <c r="D56" s="122"/>
      <c r="E56" s="248">
        <f t="shared" si="6"/>
        <v>0</v>
      </c>
      <c r="F56" s="124">
        <f t="shared" si="7"/>
        <v>0</v>
      </c>
      <c r="G56" s="241"/>
      <c r="H56" s="358"/>
      <c r="I56" s="191">
        <f>+'Provider Total Budget by Serv'!K178</f>
        <v>0</v>
      </c>
      <c r="J56" s="388">
        <f t="shared" si="8"/>
        <v>0</v>
      </c>
      <c r="K56" s="241"/>
      <c r="L56" s="358"/>
      <c r="M56" s="1059"/>
      <c r="N56" s="1060"/>
      <c r="O56" s="1121"/>
    </row>
    <row r="57" spans="1:15" s="88" customFormat="1" ht="12.75">
      <c r="A57" s="591"/>
      <c r="B57" s="109" t="s">
        <v>218</v>
      </c>
      <c r="C57" s="83"/>
      <c r="D57" s="122"/>
      <c r="E57" s="248">
        <f t="shared" si="6"/>
        <v>0</v>
      </c>
      <c r="F57" s="124">
        <f t="shared" si="7"/>
        <v>0</v>
      </c>
      <c r="G57" s="241"/>
      <c r="H57" s="358"/>
      <c r="I57" s="191">
        <f>+'Provider Total Budget by Serv'!K183</f>
        <v>0</v>
      </c>
      <c r="J57" s="388">
        <f t="shared" si="8"/>
        <v>0</v>
      </c>
      <c r="K57" s="241"/>
      <c r="L57" s="358"/>
      <c r="M57" s="1059"/>
      <c r="N57" s="1060"/>
      <c r="O57" s="1121"/>
    </row>
    <row r="58" spans="1:15" s="88" customFormat="1" ht="12.75">
      <c r="A58" s="591"/>
      <c r="B58" s="109" t="s">
        <v>213</v>
      </c>
      <c r="C58" s="83"/>
      <c r="D58" s="122"/>
      <c r="E58" s="248">
        <f t="shared" si="6"/>
        <v>0</v>
      </c>
      <c r="F58" s="124">
        <f t="shared" si="7"/>
        <v>0</v>
      </c>
      <c r="G58" s="241"/>
      <c r="H58" s="358"/>
      <c r="I58" s="191">
        <f>+'Provider Total Budget by Serv'!K188</f>
        <v>0</v>
      </c>
      <c r="J58" s="388">
        <f t="shared" si="8"/>
        <v>0</v>
      </c>
      <c r="K58" s="241"/>
      <c r="L58" s="358"/>
      <c r="M58" s="1059"/>
      <c r="N58" s="1060"/>
      <c r="O58" s="1121"/>
    </row>
    <row r="59" spans="1:15" s="88" customFormat="1" ht="12.75">
      <c r="A59" s="591"/>
      <c r="B59" s="109" t="s">
        <v>219</v>
      </c>
      <c r="C59" s="83"/>
      <c r="D59" s="122"/>
      <c r="E59" s="248">
        <f t="shared" si="6"/>
        <v>0</v>
      </c>
      <c r="F59" s="124">
        <f t="shared" si="7"/>
        <v>0</v>
      </c>
      <c r="G59" s="125"/>
      <c r="H59" s="358"/>
      <c r="I59" s="191">
        <f>+'Provider Total Budget by Serv'!K193</f>
        <v>0</v>
      </c>
      <c r="J59" s="388">
        <f t="shared" si="8"/>
        <v>0</v>
      </c>
      <c r="K59" s="241"/>
      <c r="L59" s="358"/>
      <c r="M59" s="1059"/>
      <c r="N59" s="1060"/>
      <c r="O59" s="1121"/>
    </row>
    <row r="60" spans="1:15" s="88" customFormat="1" ht="12.75">
      <c r="A60" s="591"/>
      <c r="B60" s="109" t="s">
        <v>4</v>
      </c>
      <c r="C60" s="83"/>
      <c r="D60" s="122"/>
      <c r="E60" s="248">
        <f t="shared" si="6"/>
        <v>0</v>
      </c>
      <c r="F60" s="124">
        <f t="shared" si="7"/>
        <v>0</v>
      </c>
      <c r="G60" s="125"/>
      <c r="H60" s="358"/>
      <c r="I60" s="191">
        <f>+'Provider Total Budget by Serv'!K198</f>
        <v>0</v>
      </c>
      <c r="J60" s="388">
        <f t="shared" si="8"/>
        <v>0</v>
      </c>
      <c r="K60" s="241"/>
      <c r="L60" s="358"/>
      <c r="M60" s="1059"/>
      <c r="N60" s="1060"/>
      <c r="O60" s="1121"/>
    </row>
    <row r="61" spans="1:15" s="88" customFormat="1" ht="12.75">
      <c r="A61" s="591"/>
      <c r="B61" s="110" t="s">
        <v>29</v>
      </c>
      <c r="C61" s="84"/>
      <c r="D61" s="390"/>
      <c r="E61" s="574">
        <f t="shared" si="6"/>
        <v>0</v>
      </c>
      <c r="F61" s="392">
        <f t="shared" si="7"/>
        <v>0</v>
      </c>
      <c r="G61" s="535"/>
      <c r="H61" s="358"/>
      <c r="I61" s="192">
        <f>+'Provider Total Budget by Serv'!K203</f>
        <v>0</v>
      </c>
      <c r="J61" s="404">
        <f t="shared" si="8"/>
        <v>0</v>
      </c>
      <c r="K61" s="241"/>
      <c r="L61" s="358"/>
      <c r="M61" s="1059"/>
      <c r="N61" s="1060"/>
      <c r="O61" s="1121"/>
    </row>
    <row r="62" spans="1:15" s="88" customFormat="1" ht="12.75">
      <c r="A62" s="591"/>
      <c r="B62" s="110" t="s">
        <v>1</v>
      </c>
      <c r="C62" s="90">
        <f>SUM(C54:C61)</f>
        <v>0</v>
      </c>
      <c r="D62" s="91">
        <f>SUM(D54:D61)</f>
        <v>0</v>
      </c>
      <c r="E62" s="248">
        <f t="shared" si="6"/>
        <v>0</v>
      </c>
      <c r="F62" s="394">
        <f t="shared" si="7"/>
        <v>0</v>
      </c>
      <c r="G62" s="535">
        <f>IF(AND(C62&gt;0,C$80&gt;0),+C62/C$80,0)</f>
        <v>0</v>
      </c>
      <c r="H62" s="358"/>
      <c r="I62" s="193">
        <f>SUM(I54:I61)</f>
        <v>0</v>
      </c>
      <c r="J62" s="388">
        <f t="shared" si="8"/>
        <v>0</v>
      </c>
      <c r="K62" s="575">
        <f>IF(AND(I62&gt;0,I$80&gt;0),+I62/I$80,0)</f>
        <v>0</v>
      </c>
      <c r="L62" s="358"/>
      <c r="M62" s="1061"/>
      <c r="N62" s="1062"/>
      <c r="O62" s="1121"/>
    </row>
    <row r="63" spans="1:15" s="88" customFormat="1" ht="12.75">
      <c r="A63" s="590"/>
      <c r="B63" s="781" t="s">
        <v>237</v>
      </c>
      <c r="C63" s="781"/>
      <c r="D63" s="781"/>
      <c r="E63" s="781"/>
      <c r="F63" s="781"/>
      <c r="G63" s="867"/>
      <c r="H63" s="358"/>
      <c r="I63" s="687"/>
      <c r="J63" s="541"/>
      <c r="K63" s="684"/>
      <c r="L63" s="372"/>
      <c r="M63" s="1118"/>
      <c r="N63" s="1119"/>
      <c r="O63" s="1121"/>
    </row>
    <row r="64" spans="1:15" s="88" customFormat="1" ht="12.75">
      <c r="A64" s="591"/>
      <c r="B64" s="109" t="s">
        <v>18</v>
      </c>
      <c r="C64" s="83"/>
      <c r="D64" s="122"/>
      <c r="E64" s="248">
        <f aca="true" t="shared" si="9" ref="E64:E78">+D64-C64</f>
        <v>0</v>
      </c>
      <c r="F64" s="124">
        <f aca="true" t="shared" si="10" ref="F64:F78">IF(+C64+D64=0,0,(IF(AND(+C64=0,D64&gt;0),1,(IF(AND(+C64&gt;0,D64=0),-1,+C64/+D64-1)))))</f>
        <v>0</v>
      </c>
      <c r="G64" s="241"/>
      <c r="H64" s="358"/>
      <c r="I64" s="191">
        <f>+'Provider Total Budget by Serv'!K210</f>
        <v>0</v>
      </c>
      <c r="J64" s="388">
        <f aca="true" t="shared" si="11" ref="J64:J78">IF(I64+C64=0,0,(IF(AND(I64=0,C64&gt;0),-1,(IF(AND(I64&gt;0,C64=0),1,+I64/C64-1)))))</f>
        <v>0</v>
      </c>
      <c r="K64" s="241"/>
      <c r="L64" s="358"/>
      <c r="M64" s="1115"/>
      <c r="N64" s="1058"/>
      <c r="O64" s="1121"/>
    </row>
    <row r="65" spans="1:15" s="88" customFormat="1" ht="12.75">
      <c r="A65" s="591"/>
      <c r="B65" s="109" t="s">
        <v>10</v>
      </c>
      <c r="C65" s="83"/>
      <c r="D65" s="122"/>
      <c r="E65" s="248">
        <f t="shared" si="9"/>
        <v>0</v>
      </c>
      <c r="F65" s="124">
        <f t="shared" si="10"/>
        <v>0</v>
      </c>
      <c r="G65" s="241"/>
      <c r="H65" s="358"/>
      <c r="I65" s="191">
        <f>+'Provider Total Budget by Serv'!K215</f>
        <v>0</v>
      </c>
      <c r="J65" s="388">
        <f t="shared" si="11"/>
        <v>0</v>
      </c>
      <c r="K65" s="241"/>
      <c r="L65" s="358"/>
      <c r="M65" s="1059"/>
      <c r="N65" s="1060"/>
      <c r="O65" s="1121"/>
    </row>
    <row r="66" spans="1:15" s="88" customFormat="1" ht="12.75">
      <c r="A66" s="591"/>
      <c r="B66" s="109" t="s">
        <v>11</v>
      </c>
      <c r="C66" s="83"/>
      <c r="D66" s="122"/>
      <c r="E66" s="248">
        <f t="shared" si="9"/>
        <v>0</v>
      </c>
      <c r="F66" s="124">
        <f t="shared" si="10"/>
        <v>0</v>
      </c>
      <c r="G66" s="241"/>
      <c r="H66" s="358"/>
      <c r="I66" s="191">
        <f>+'Provider Total Budget by Serv'!K220</f>
        <v>0</v>
      </c>
      <c r="J66" s="388">
        <f t="shared" si="11"/>
        <v>0</v>
      </c>
      <c r="K66" s="241"/>
      <c r="L66" s="358"/>
      <c r="M66" s="1059"/>
      <c r="N66" s="1060"/>
      <c r="O66" s="1121"/>
    </row>
    <row r="67" spans="1:15" s="88" customFormat="1" ht="12.75">
      <c r="A67" s="591"/>
      <c r="B67" s="109" t="s">
        <v>12</v>
      </c>
      <c r="C67" s="83"/>
      <c r="D67" s="122"/>
      <c r="E67" s="248">
        <f t="shared" si="9"/>
        <v>0</v>
      </c>
      <c r="F67" s="124">
        <f t="shared" si="10"/>
        <v>0</v>
      </c>
      <c r="G67" s="241"/>
      <c r="H67" s="358"/>
      <c r="I67" s="191">
        <f>+'Provider Total Budget by Serv'!K225</f>
        <v>0</v>
      </c>
      <c r="J67" s="388">
        <f t="shared" si="11"/>
        <v>0</v>
      </c>
      <c r="K67" s="241"/>
      <c r="L67" s="358"/>
      <c r="M67" s="1059"/>
      <c r="N67" s="1060"/>
      <c r="O67" s="1121"/>
    </row>
    <row r="68" spans="1:15" s="88" customFormat="1" ht="12.75">
      <c r="A68" s="591"/>
      <c r="B68" s="109" t="s">
        <v>19</v>
      </c>
      <c r="C68" s="83"/>
      <c r="D68" s="122"/>
      <c r="E68" s="248">
        <f t="shared" si="9"/>
        <v>0</v>
      </c>
      <c r="F68" s="124">
        <f t="shared" si="10"/>
        <v>0</v>
      </c>
      <c r="G68" s="125"/>
      <c r="H68" s="358"/>
      <c r="I68" s="191">
        <f>+'Provider Total Budget by Serv'!K230</f>
        <v>0</v>
      </c>
      <c r="J68" s="388">
        <f t="shared" si="11"/>
        <v>0</v>
      </c>
      <c r="K68" s="241"/>
      <c r="L68" s="358"/>
      <c r="M68" s="1059"/>
      <c r="N68" s="1060"/>
      <c r="O68" s="1121"/>
    </row>
    <row r="69" spans="1:15" s="88" customFormat="1" ht="12.75">
      <c r="A69" s="591"/>
      <c r="B69" s="109" t="s">
        <v>13</v>
      </c>
      <c r="C69" s="83"/>
      <c r="D69" s="122"/>
      <c r="E69" s="248">
        <f t="shared" si="9"/>
        <v>0</v>
      </c>
      <c r="F69" s="124">
        <f t="shared" si="10"/>
        <v>0</v>
      </c>
      <c r="G69" s="125"/>
      <c r="H69" s="358"/>
      <c r="I69" s="191">
        <f>+'Provider Total Budget by Serv'!K235</f>
        <v>0</v>
      </c>
      <c r="J69" s="388">
        <f t="shared" si="11"/>
        <v>0</v>
      </c>
      <c r="K69" s="241"/>
      <c r="L69" s="358"/>
      <c r="M69" s="1059"/>
      <c r="N69" s="1060"/>
      <c r="O69" s="1121"/>
    </row>
    <row r="70" spans="1:15" s="88" customFormat="1" ht="12.75">
      <c r="A70" s="591"/>
      <c r="B70" s="109" t="s">
        <v>14</v>
      </c>
      <c r="C70" s="83"/>
      <c r="D70" s="122"/>
      <c r="E70" s="248">
        <f t="shared" si="9"/>
        <v>0</v>
      </c>
      <c r="F70" s="124">
        <f t="shared" si="10"/>
        <v>0</v>
      </c>
      <c r="G70" s="241"/>
      <c r="H70" s="358"/>
      <c r="I70" s="191">
        <f>+'Provider Total Budget by Serv'!K240</f>
        <v>0</v>
      </c>
      <c r="J70" s="388">
        <f t="shared" si="11"/>
        <v>0</v>
      </c>
      <c r="K70" s="241"/>
      <c r="L70" s="358"/>
      <c r="M70" s="1059"/>
      <c r="N70" s="1060"/>
      <c r="O70" s="1121"/>
    </row>
    <row r="71" spans="1:15" s="88" customFormat="1" ht="12.75">
      <c r="A71" s="591"/>
      <c r="B71" s="109" t="s">
        <v>15</v>
      </c>
      <c r="C71" s="83"/>
      <c r="D71" s="122"/>
      <c r="E71" s="248">
        <f t="shared" si="9"/>
        <v>0</v>
      </c>
      <c r="F71" s="124">
        <f t="shared" si="10"/>
        <v>0</v>
      </c>
      <c r="G71" s="241"/>
      <c r="H71" s="358"/>
      <c r="I71" s="191">
        <f>+'Provider Total Budget by Serv'!K245</f>
        <v>0</v>
      </c>
      <c r="J71" s="388">
        <f t="shared" si="11"/>
        <v>0</v>
      </c>
      <c r="K71" s="241"/>
      <c r="L71" s="358"/>
      <c r="M71" s="1059"/>
      <c r="N71" s="1060"/>
      <c r="O71" s="1121"/>
    </row>
    <row r="72" spans="1:15" s="88" customFormat="1" ht="12.75">
      <c r="A72" s="591"/>
      <c r="B72" s="109" t="s">
        <v>16</v>
      </c>
      <c r="C72" s="83"/>
      <c r="D72" s="122"/>
      <c r="E72" s="248">
        <f t="shared" si="9"/>
        <v>0</v>
      </c>
      <c r="F72" s="124">
        <f t="shared" si="10"/>
        <v>0</v>
      </c>
      <c r="G72" s="241"/>
      <c r="H72" s="358"/>
      <c r="I72" s="191">
        <f>+'Provider Total Budget by Serv'!K250</f>
        <v>0</v>
      </c>
      <c r="J72" s="388">
        <f t="shared" si="11"/>
        <v>0</v>
      </c>
      <c r="K72" s="241"/>
      <c r="L72" s="358"/>
      <c r="M72" s="1059"/>
      <c r="N72" s="1060"/>
      <c r="O72" s="1121"/>
    </row>
    <row r="73" spans="1:15" s="88" customFormat="1" ht="12.75">
      <c r="A73" s="591"/>
      <c r="B73" s="109" t="s">
        <v>24</v>
      </c>
      <c r="C73" s="83"/>
      <c r="D73" s="122"/>
      <c r="E73" s="248">
        <f t="shared" si="9"/>
        <v>0</v>
      </c>
      <c r="F73" s="124">
        <f t="shared" si="10"/>
        <v>0</v>
      </c>
      <c r="G73" s="125"/>
      <c r="H73" s="358"/>
      <c r="I73" s="191">
        <f>+'Provider Total Budget by Serv'!K255</f>
        <v>0</v>
      </c>
      <c r="J73" s="388">
        <f t="shared" si="11"/>
        <v>0</v>
      </c>
      <c r="K73" s="241"/>
      <c r="L73" s="358"/>
      <c r="M73" s="1059"/>
      <c r="N73" s="1060"/>
      <c r="O73" s="1121"/>
    </row>
    <row r="74" spans="1:15" s="88" customFormat="1" ht="12.75">
      <c r="A74" s="591"/>
      <c r="B74" s="109" t="s">
        <v>25</v>
      </c>
      <c r="C74" s="83"/>
      <c r="D74" s="122"/>
      <c r="E74" s="248">
        <f t="shared" si="9"/>
        <v>0</v>
      </c>
      <c r="F74" s="124">
        <f t="shared" si="10"/>
        <v>0</v>
      </c>
      <c r="G74" s="125"/>
      <c r="H74" s="358"/>
      <c r="I74" s="191">
        <f>+'Provider Total Budget by Serv'!K260</f>
        <v>0</v>
      </c>
      <c r="J74" s="388">
        <f t="shared" si="11"/>
        <v>0</v>
      </c>
      <c r="K74" s="241"/>
      <c r="L74" s="358"/>
      <c r="M74" s="1059"/>
      <c r="N74" s="1060"/>
      <c r="O74" s="1121"/>
    </row>
    <row r="75" spans="1:15" s="88" customFormat="1" ht="12.75">
      <c r="A75" s="591"/>
      <c r="B75" s="109" t="s">
        <v>109</v>
      </c>
      <c r="C75" s="83"/>
      <c r="D75" s="122"/>
      <c r="E75" s="248">
        <f t="shared" si="9"/>
        <v>0</v>
      </c>
      <c r="F75" s="124">
        <f t="shared" si="10"/>
        <v>0</v>
      </c>
      <c r="G75" s="125"/>
      <c r="H75" s="358"/>
      <c r="I75" s="191">
        <f>+'Provider Total Budget by Serv'!K265</f>
        <v>0</v>
      </c>
      <c r="J75" s="388">
        <f t="shared" si="11"/>
        <v>0</v>
      </c>
      <c r="K75" s="241"/>
      <c r="L75" s="358"/>
      <c r="M75" s="1059"/>
      <c r="N75" s="1060"/>
      <c r="O75" s="1121"/>
    </row>
    <row r="76" spans="1:15" s="88" customFormat="1" ht="12.75">
      <c r="A76" s="591"/>
      <c r="B76" s="109" t="s">
        <v>17</v>
      </c>
      <c r="C76" s="83"/>
      <c r="D76" s="122"/>
      <c r="E76" s="248">
        <f t="shared" si="9"/>
        <v>0</v>
      </c>
      <c r="F76" s="124">
        <f t="shared" si="10"/>
        <v>0</v>
      </c>
      <c r="G76" s="125"/>
      <c r="H76" s="358"/>
      <c r="I76" s="191">
        <f>+'Provider Total Budget by Serv'!K270</f>
        <v>0</v>
      </c>
      <c r="J76" s="388">
        <f t="shared" si="11"/>
        <v>0</v>
      </c>
      <c r="K76" s="241"/>
      <c r="L76" s="358"/>
      <c r="M76" s="1059"/>
      <c r="N76" s="1060"/>
      <c r="O76" s="1121"/>
    </row>
    <row r="77" spans="1:15" s="88" customFormat="1" ht="12.75">
      <c r="A77" s="591"/>
      <c r="B77" s="110" t="s">
        <v>108</v>
      </c>
      <c r="C77" s="84"/>
      <c r="D77" s="390"/>
      <c r="E77" s="574">
        <f t="shared" si="9"/>
        <v>0</v>
      </c>
      <c r="F77" s="392">
        <f t="shared" si="10"/>
        <v>0</v>
      </c>
      <c r="G77" s="535"/>
      <c r="H77" s="358"/>
      <c r="I77" s="192">
        <f>+'Provider Total Budget by Serv'!K275</f>
        <v>0</v>
      </c>
      <c r="J77" s="404">
        <f t="shared" si="11"/>
        <v>0</v>
      </c>
      <c r="K77" s="241"/>
      <c r="L77" s="358"/>
      <c r="M77" s="1059"/>
      <c r="N77" s="1060"/>
      <c r="O77" s="1121"/>
    </row>
    <row r="78" spans="1:15" s="88" customFormat="1" ht="12.75">
      <c r="A78" s="591"/>
      <c r="B78" s="110" t="s">
        <v>1</v>
      </c>
      <c r="C78" s="90">
        <f>SUM(C64:C77)</f>
        <v>0</v>
      </c>
      <c r="D78" s="393">
        <f>SUM(D64:D77)</f>
        <v>0</v>
      </c>
      <c r="E78" s="574">
        <f t="shared" si="9"/>
        <v>0</v>
      </c>
      <c r="F78" s="394">
        <f t="shared" si="10"/>
        <v>0</v>
      </c>
      <c r="G78" s="535">
        <f>IF(AND(C78&gt;0,C$80&gt;0),+C78/C$80,0)</f>
        <v>0</v>
      </c>
      <c r="H78" s="358"/>
      <c r="I78" s="412">
        <f>SUM(I64:I77)</f>
        <v>0</v>
      </c>
      <c r="J78" s="537">
        <f t="shared" si="11"/>
        <v>0</v>
      </c>
      <c r="K78" s="575">
        <f>IF(AND(I78&gt;0,I$80&gt;0),+I78/I$80,0)</f>
        <v>0</v>
      </c>
      <c r="L78" s="358"/>
      <c r="M78" s="1061"/>
      <c r="N78" s="1062"/>
      <c r="O78" s="1121"/>
    </row>
    <row r="79" spans="1:15" s="88" customFormat="1" ht="12.75">
      <c r="A79" s="590"/>
      <c r="B79" s="797" t="s">
        <v>1</v>
      </c>
      <c r="C79" s="797"/>
      <c r="D79" s="797"/>
      <c r="E79" s="797"/>
      <c r="F79" s="797"/>
      <c r="G79" s="911"/>
      <c r="H79" s="358"/>
      <c r="I79" s="687"/>
      <c r="J79" s="427"/>
      <c r="K79" s="684"/>
      <c r="L79" s="372"/>
      <c r="M79" s="911"/>
      <c r="N79" s="796"/>
      <c r="O79" s="1121"/>
    </row>
    <row r="80" spans="1:15" s="88" customFormat="1" ht="12.75">
      <c r="A80" s="591"/>
      <c r="B80" s="133" t="s">
        <v>28</v>
      </c>
      <c r="C80" s="92">
        <f>+C16+C22+C27+C35+C41+C52+C62+C78</f>
        <v>0</v>
      </c>
      <c r="D80" s="92">
        <f>+D16+D22+D27+D35+D41+D52+D62+D78</f>
        <v>0</v>
      </c>
      <c r="E80" s="134">
        <f>+D80-C80</f>
        <v>0</v>
      </c>
      <c r="F80" s="181">
        <f>IF(+C80+D80=0,0,(IF(AND(+C80=0,D80&gt;0),1,(IF(AND(+C80&gt;0,D80=0),-1,+C80/+D80-1)))))</f>
        <v>0</v>
      </c>
      <c r="G80" s="249">
        <f>IF(AND(C80&gt;0,C$80&gt;0),+C80/C$80,0)</f>
        <v>0</v>
      </c>
      <c r="H80" s="358"/>
      <c r="I80" s="134">
        <f>+I16+I27+I41+I52+I62+I78+I22+I35</f>
        <v>0</v>
      </c>
      <c r="J80" s="537">
        <f>IF(I80+C80=0,0,(IF(AND(I80=0,C80&gt;0),-1,(IF(AND(I80&gt;0,C80=0),1,+I80/C80-1)))))</f>
        <v>0</v>
      </c>
      <c r="K80" s="575">
        <f>IF(AND(I80&gt;0,I$80&gt;0),+I80/I$80,0)</f>
        <v>0</v>
      </c>
      <c r="L80" s="358"/>
      <c r="M80" s="1114"/>
      <c r="N80" s="1078"/>
      <c r="O80" s="1121"/>
    </row>
    <row r="81" spans="1:15" s="88" customFormat="1" ht="12.75">
      <c r="A81" s="591"/>
      <c r="B81" s="133" t="s">
        <v>298</v>
      </c>
      <c r="C81" s="112"/>
      <c r="D81" s="245"/>
      <c r="E81" s="248">
        <f>+D81-C81</f>
        <v>0</v>
      </c>
      <c r="F81" s="181">
        <f>IF(+C81+D81=0,0,(IF(AND(+C81=0,D81&gt;0),1,(IF(AND(+C81&gt;0,D81=0),-1,+D81/+C81-1)))))</f>
        <v>0</v>
      </c>
      <c r="G81" s="543"/>
      <c r="H81" s="358"/>
      <c r="I81" s="1113"/>
      <c r="J81" s="880"/>
      <c r="K81" s="880"/>
      <c r="L81" s="372"/>
      <c r="M81" s="911"/>
      <c r="N81" s="796"/>
      <c r="O81" s="1122"/>
    </row>
    <row r="82" spans="1:15" s="88" customFormat="1" ht="12.75">
      <c r="A82" s="592"/>
      <c r="B82" s="133" t="s">
        <v>297</v>
      </c>
      <c r="C82" s="92">
        <f>IF(C81=0,0,+C80/C81)</f>
        <v>0</v>
      </c>
      <c r="D82" s="92">
        <f>IF(D81=0,0,+D80/D81)</f>
        <v>0</v>
      </c>
      <c r="E82" s="134">
        <f>IF(E81=0,0,+E80/E81)</f>
        <v>0</v>
      </c>
      <c r="F82" s="181">
        <f>IF(+C82+D82=0,0,(IF(AND(+C82=0,D82&gt;0),1,(IF(AND(+C82&gt;0,D82=0),-1,+D82/+C82-1)))))</f>
        <v>0</v>
      </c>
      <c r="G82" s="143"/>
      <c r="H82" s="358"/>
      <c r="I82" s="577" t="s">
        <v>313</v>
      </c>
      <c r="J82" s="132"/>
      <c r="K82" s="578" t="s">
        <v>277</v>
      </c>
      <c r="L82" s="358"/>
      <c r="M82" s="1114"/>
      <c r="N82" s="1078"/>
      <c r="O82" s="596"/>
    </row>
    <row r="83" spans="1:15" s="88" customFormat="1" ht="12.75">
      <c r="A83" s="590"/>
      <c r="B83" s="133" t="s">
        <v>296</v>
      </c>
      <c r="C83" s="132"/>
      <c r="D83" s="246"/>
      <c r="E83" s="546"/>
      <c r="F83" s="547"/>
      <c r="G83" s="143"/>
      <c r="H83" s="548"/>
      <c r="I83" s="247">
        <f>+G98</f>
        <v>0</v>
      </c>
      <c r="J83" s="549"/>
      <c r="K83" s="579">
        <f>IF(I83=0,"",+I80/I83)</f>
      </c>
      <c r="L83" s="360"/>
      <c r="M83" s="1114"/>
      <c r="N83" s="1078"/>
      <c r="O83" s="234"/>
    </row>
    <row r="84" spans="1:15" s="88" customFormat="1" ht="12.75">
      <c r="A84" s="590"/>
      <c r="B84" s="305"/>
      <c r="C84" s="427"/>
      <c r="D84" s="427"/>
      <c r="E84" s="427"/>
      <c r="F84" s="428"/>
      <c r="G84" s="143"/>
      <c r="H84" s="129"/>
      <c r="I84" s="143"/>
      <c r="J84" s="143"/>
      <c r="K84" s="129"/>
      <c r="L84" s="129"/>
      <c r="M84" s="129"/>
      <c r="N84" s="85"/>
      <c r="O84" s="234"/>
    </row>
    <row r="85" spans="1:14" s="88" customFormat="1" ht="12.75">
      <c r="A85" s="590"/>
      <c r="B85" s="305"/>
      <c r="C85" s="131"/>
      <c r="D85" s="131"/>
      <c r="E85" s="557"/>
      <c r="F85" s="431"/>
      <c r="G85" s="557"/>
      <c r="H85" s="130"/>
      <c r="I85" s="143"/>
      <c r="J85" s="143"/>
      <c r="K85" s="130"/>
      <c r="L85" s="130"/>
      <c r="M85" s="130"/>
      <c r="N85" s="129"/>
    </row>
    <row r="86" spans="1:14" s="88" customFormat="1" ht="38.25">
      <c r="A86" s="563"/>
      <c r="B86" s="1127" t="s">
        <v>66</v>
      </c>
      <c r="C86" s="1128"/>
      <c r="D86" s="1128"/>
      <c r="E86" s="1128"/>
      <c r="F86" s="1128"/>
      <c r="G86" s="580" t="s">
        <v>295</v>
      </c>
      <c r="H86" s="244"/>
      <c r="I86" s="555" t="s">
        <v>69</v>
      </c>
      <c r="J86" s="581" t="s">
        <v>68</v>
      </c>
      <c r="L86" s="243"/>
      <c r="M86" s="234"/>
      <c r="N86" s="129"/>
    </row>
    <row r="87" spans="1:15" s="88" customFormat="1" ht="12.75" customHeight="1">
      <c r="A87" s="563"/>
      <c r="B87" s="915" t="s">
        <v>437</v>
      </c>
      <c r="C87" s="866"/>
      <c r="D87" s="866"/>
      <c r="E87" s="866"/>
      <c r="F87" s="866"/>
      <c r="G87" s="582"/>
      <c r="H87" s="85"/>
      <c r="I87" s="242">
        <f>IF(G87=0,0,'Unit Rate Calculation Transp'!L24)</f>
        <v>0</v>
      </c>
      <c r="J87" s="420">
        <f aca="true" t="shared" si="12" ref="J87:J92">+G87*I87</f>
        <v>0</v>
      </c>
      <c r="L87" s="85"/>
      <c r="M87" s="85"/>
      <c r="N87" s="85"/>
      <c r="O87" s="85"/>
    </row>
    <row r="88" spans="1:15" s="88" customFormat="1" ht="12.75" customHeight="1">
      <c r="A88" s="563"/>
      <c r="B88" s="915" t="s">
        <v>438</v>
      </c>
      <c r="C88" s="866"/>
      <c r="D88" s="866"/>
      <c r="E88" s="866"/>
      <c r="F88" s="866"/>
      <c r="G88" s="582"/>
      <c r="H88" s="85"/>
      <c r="I88" s="242">
        <f>IF(G88=0,0,'Unit Rate Calculation Transp'!$L$31)</f>
        <v>0</v>
      </c>
      <c r="J88" s="420">
        <f t="shared" si="12"/>
        <v>0</v>
      </c>
      <c r="L88" s="85"/>
      <c r="M88" s="85"/>
      <c r="N88" s="85"/>
      <c r="O88" s="85"/>
    </row>
    <row r="89" spans="1:15" s="88" customFormat="1" ht="12.75" customHeight="1">
      <c r="A89" s="563"/>
      <c r="B89" s="915" t="s">
        <v>439</v>
      </c>
      <c r="C89" s="866"/>
      <c r="D89" s="866"/>
      <c r="E89" s="866"/>
      <c r="F89" s="866"/>
      <c r="G89" s="582"/>
      <c r="H89" s="85"/>
      <c r="I89" s="242">
        <f>IF(G89=0,0,'Unit Rate Calculation Transp'!$L$16)</f>
        <v>0</v>
      </c>
      <c r="J89" s="420">
        <f t="shared" si="12"/>
        <v>0</v>
      </c>
      <c r="L89" s="85"/>
      <c r="M89" s="85"/>
      <c r="N89" s="85"/>
      <c r="O89" s="85"/>
    </row>
    <row r="90" spans="1:15" s="88" customFormat="1" ht="12.75" customHeight="1">
      <c r="A90" s="563"/>
      <c r="B90" s="847" t="s">
        <v>275</v>
      </c>
      <c r="C90" s="847"/>
      <c r="D90" s="847"/>
      <c r="E90" s="847"/>
      <c r="F90" s="848"/>
      <c r="G90" s="582"/>
      <c r="H90" s="85"/>
      <c r="I90" s="242">
        <f>IF(G90=0,0,'Unit Rate Calculation Transp'!$L$16)</f>
        <v>0</v>
      </c>
      <c r="J90" s="420">
        <f t="shared" si="12"/>
        <v>0</v>
      </c>
      <c r="L90" s="85"/>
      <c r="M90" s="85"/>
      <c r="N90" s="85"/>
      <c r="O90" s="85"/>
    </row>
    <row r="91" spans="1:15" s="88" customFormat="1" ht="12.75" customHeight="1">
      <c r="A91" s="563"/>
      <c r="B91" s="848" t="s">
        <v>274</v>
      </c>
      <c r="C91" s="866"/>
      <c r="D91" s="866"/>
      <c r="E91" s="866"/>
      <c r="F91" s="866"/>
      <c r="G91" s="583"/>
      <c r="H91" s="85"/>
      <c r="I91" s="242">
        <f>IF(G91=0,0,'Unit Rate Calculation Transp'!$L$16)</f>
        <v>0</v>
      </c>
      <c r="J91" s="420">
        <f t="shared" si="12"/>
        <v>0</v>
      </c>
      <c r="L91" s="85"/>
      <c r="M91" s="85"/>
      <c r="N91" s="85"/>
      <c r="O91" s="85"/>
    </row>
    <row r="92" spans="1:15" s="88" customFormat="1" ht="12.75" customHeight="1">
      <c r="A92" s="563"/>
      <c r="B92" s="848" t="s">
        <v>273</v>
      </c>
      <c r="C92" s="866"/>
      <c r="D92" s="866"/>
      <c r="E92" s="866"/>
      <c r="F92" s="866"/>
      <c r="G92" s="583"/>
      <c r="H92" s="85"/>
      <c r="I92" s="242">
        <f>IF(G92=0,0,'Unit Rate Calculation Transp'!$L$16)</f>
        <v>0</v>
      </c>
      <c r="J92" s="420">
        <f t="shared" si="12"/>
        <v>0</v>
      </c>
      <c r="L92" s="85"/>
      <c r="M92" s="85"/>
      <c r="N92" s="85"/>
      <c r="O92" s="85"/>
    </row>
    <row r="93" spans="1:15" s="88" customFormat="1" ht="12.75" customHeight="1">
      <c r="A93" s="563"/>
      <c r="B93" s="848" t="s">
        <v>272</v>
      </c>
      <c r="C93" s="866"/>
      <c r="D93" s="866"/>
      <c r="E93" s="866"/>
      <c r="F93" s="866"/>
      <c r="G93" s="446" t="s">
        <v>72</v>
      </c>
      <c r="H93" s="85"/>
      <c r="I93" s="242">
        <f>IF(G93=0,0,'Unit Rate Calculation Transp'!$L$23)</f>
        <v>0</v>
      </c>
      <c r="J93" s="420">
        <f>+G87*I93</f>
        <v>0</v>
      </c>
      <c r="L93" s="85"/>
      <c r="M93" s="85"/>
      <c r="N93" s="85"/>
      <c r="O93" s="85"/>
    </row>
    <row r="94" spans="1:15" s="88" customFormat="1" ht="12.75" customHeight="1">
      <c r="A94" s="563"/>
      <c r="B94" s="848" t="s">
        <v>271</v>
      </c>
      <c r="C94" s="866"/>
      <c r="D94" s="866"/>
      <c r="E94" s="866"/>
      <c r="F94" s="866"/>
      <c r="G94" s="446" t="s">
        <v>72</v>
      </c>
      <c r="H94" s="85"/>
      <c r="I94" s="242">
        <f>IF(G94=0,0,'Unit Rate Calculation Transp'!$L$30)</f>
        <v>0</v>
      </c>
      <c r="J94" s="420">
        <f>+G88*I94</f>
        <v>0</v>
      </c>
      <c r="L94" s="85"/>
      <c r="M94" s="85"/>
      <c r="N94" s="85"/>
      <c r="O94" s="85"/>
    </row>
    <row r="95" spans="1:15" s="88" customFormat="1" ht="12.75" customHeight="1">
      <c r="A95" s="563"/>
      <c r="B95" s="1126" t="s">
        <v>264</v>
      </c>
      <c r="C95" s="1126"/>
      <c r="D95" s="1126"/>
      <c r="E95" s="1126"/>
      <c r="F95" s="1009"/>
      <c r="G95" s="582"/>
      <c r="H95" s="85"/>
      <c r="I95" s="242">
        <f>IF(G95=0,0,'Unit Rate Calculation Transp'!$L$16)</f>
        <v>0</v>
      </c>
      <c r="J95" s="420">
        <f>+G95*I95</f>
        <v>0</v>
      </c>
      <c r="L95" s="85"/>
      <c r="M95" s="85"/>
      <c r="N95" s="85"/>
      <c r="O95" s="85"/>
    </row>
    <row r="96" spans="1:15" s="88" customFormat="1" ht="12.75" customHeight="1">
      <c r="A96" s="563"/>
      <c r="B96" s="1126" t="s">
        <v>270</v>
      </c>
      <c r="C96" s="1126"/>
      <c r="D96" s="1126"/>
      <c r="E96" s="1126"/>
      <c r="F96" s="1009"/>
      <c r="G96" s="582"/>
      <c r="H96" s="85"/>
      <c r="I96" s="242">
        <f>IF(G96=0,0,'Unit Rate Calculation Transp'!$L$16)</f>
        <v>0</v>
      </c>
      <c r="J96" s="420">
        <f>+G96*I96</f>
        <v>0</v>
      </c>
      <c r="L96" s="85"/>
      <c r="M96" s="85"/>
      <c r="N96" s="85"/>
      <c r="O96" s="85"/>
    </row>
    <row r="97" spans="1:15" s="88" customFormat="1" ht="12.75" customHeight="1">
      <c r="A97" s="563"/>
      <c r="B97" s="1126" t="s">
        <v>269</v>
      </c>
      <c r="C97" s="1126"/>
      <c r="D97" s="1126"/>
      <c r="E97" s="1126"/>
      <c r="F97" s="1009"/>
      <c r="G97" s="582"/>
      <c r="H97" s="85"/>
      <c r="I97" s="242">
        <f>IF(G97=0,0,'Unit Rate Calculation Transp'!$L$16)</f>
        <v>0</v>
      </c>
      <c r="J97" s="420">
        <f>+G97*I97</f>
        <v>0</v>
      </c>
      <c r="L97" s="85"/>
      <c r="M97" s="85"/>
      <c r="N97" s="85"/>
      <c r="O97" s="85"/>
    </row>
    <row r="98" spans="1:15" s="88" customFormat="1" ht="12.75">
      <c r="A98" s="594"/>
      <c r="B98" s="911" t="s">
        <v>294</v>
      </c>
      <c r="C98" s="912"/>
      <c r="D98" s="912"/>
      <c r="E98" s="912"/>
      <c r="F98" s="912"/>
      <c r="G98" s="584">
        <f>SUM(G87:G97)</f>
        <v>0</v>
      </c>
      <c r="H98" s="107"/>
      <c r="I98" s="242" t="s">
        <v>263</v>
      </c>
      <c r="J98" s="420">
        <f>SUM(J87:J97)</f>
        <v>0</v>
      </c>
      <c r="L98" s="180"/>
      <c r="M98" s="107"/>
      <c r="N98" s="107"/>
      <c r="O98" s="107"/>
    </row>
    <row r="99" spans="1:15" s="88" customFormat="1" ht="12.75" customHeight="1">
      <c r="A99" s="447"/>
      <c r="B99" s="447"/>
      <c r="C99" s="180"/>
      <c r="D99" s="180"/>
      <c r="E99" s="556"/>
      <c r="F99" s="180"/>
      <c r="G99" s="556"/>
      <c r="H99" s="452"/>
      <c r="I99" s="143"/>
      <c r="K99" s="452"/>
      <c r="L99" s="452"/>
      <c r="M99" s="452"/>
      <c r="O99" s="99"/>
    </row>
    <row r="100" spans="1:15" s="88" customFormat="1" ht="12.75" customHeight="1">
      <c r="A100" s="447"/>
      <c r="B100" s="447"/>
      <c r="C100" s="180"/>
      <c r="D100" s="180"/>
      <c r="E100" s="556"/>
      <c r="F100" s="180"/>
      <c r="G100" s="556"/>
      <c r="H100" s="452"/>
      <c r="I100" s="143"/>
      <c r="K100" s="452"/>
      <c r="L100" s="452"/>
      <c r="M100" s="452"/>
      <c r="O100" s="99"/>
    </row>
    <row r="101" spans="1:15" s="88" customFormat="1" ht="12.75" customHeight="1">
      <c r="A101" s="447"/>
      <c r="B101" s="447"/>
      <c r="C101" s="447"/>
      <c r="D101" s="447"/>
      <c r="E101" s="585"/>
      <c r="F101" s="447"/>
      <c r="G101" s="143"/>
      <c r="H101" s="452"/>
      <c r="I101" s="143"/>
      <c r="K101" s="452"/>
      <c r="L101" s="452"/>
      <c r="M101" s="452"/>
      <c r="O101" s="99"/>
    </row>
    <row r="102" ht="12.75">
      <c r="J102" s="88"/>
    </row>
    <row r="103" ht="12.75">
      <c r="J103" s="88"/>
    </row>
    <row r="104" ht="12.75">
      <c r="J104" s="143"/>
    </row>
    <row r="105" ht="12.75">
      <c r="J105" s="143"/>
    </row>
    <row r="106" ht="12.75">
      <c r="J106" s="131"/>
    </row>
  </sheetData>
  <sheetProtection formatCells="0" formatColumns="0" formatRows="0"/>
  <mergeCells count="74">
    <mergeCell ref="C2:G2"/>
    <mergeCell ref="C3:G3"/>
    <mergeCell ref="C4:G4"/>
    <mergeCell ref="B8:G8"/>
    <mergeCell ref="B5:C5"/>
    <mergeCell ref="D5:E5"/>
    <mergeCell ref="F5:G5"/>
    <mergeCell ref="B6:B7"/>
    <mergeCell ref="C6:C7"/>
    <mergeCell ref="D6:G7"/>
    <mergeCell ref="B79:G79"/>
    <mergeCell ref="M83:N83"/>
    <mergeCell ref="B91:F91"/>
    <mergeCell ref="B90:F90"/>
    <mergeCell ref="B89:F89"/>
    <mergeCell ref="B87:F87"/>
    <mergeCell ref="B86:F86"/>
    <mergeCell ref="B88:F88"/>
    <mergeCell ref="B53:G53"/>
    <mergeCell ref="I81:K81"/>
    <mergeCell ref="B98:F98"/>
    <mergeCell ref="B95:F95"/>
    <mergeCell ref="B97:F97"/>
    <mergeCell ref="B94:F94"/>
    <mergeCell ref="B96:F96"/>
    <mergeCell ref="B92:F92"/>
    <mergeCell ref="B93:F93"/>
    <mergeCell ref="B63:G63"/>
    <mergeCell ref="C9:C12"/>
    <mergeCell ref="D9:D12"/>
    <mergeCell ref="M42:N42"/>
    <mergeCell ref="M13:N13"/>
    <mergeCell ref="M28:N28"/>
    <mergeCell ref="I9:I12"/>
    <mergeCell ref="B36:G36"/>
    <mergeCell ref="B42:G42"/>
    <mergeCell ref="M18:N22"/>
    <mergeCell ref="M24:N27"/>
    <mergeCell ref="E9:E12"/>
    <mergeCell ref="F9:F12"/>
    <mergeCell ref="G9:G12"/>
    <mergeCell ref="B13:G13"/>
    <mergeCell ref="B17:G17"/>
    <mergeCell ref="B9:B12"/>
    <mergeCell ref="M43:N52"/>
    <mergeCell ref="M36:N36"/>
    <mergeCell ref="M29:N35"/>
    <mergeCell ref="M37:N41"/>
    <mergeCell ref="M23:N23"/>
    <mergeCell ref="B1:N1"/>
    <mergeCell ref="B23:G23"/>
    <mergeCell ref="B28:G28"/>
    <mergeCell ref="I5:K5"/>
    <mergeCell ref="I6:K7"/>
    <mergeCell ref="K9:K12"/>
    <mergeCell ref="M53:N53"/>
    <mergeCell ref="M63:N63"/>
    <mergeCell ref="M54:N62"/>
    <mergeCell ref="O1:O81"/>
    <mergeCell ref="M6:N7"/>
    <mergeCell ref="M8:N8"/>
    <mergeCell ref="M17:N17"/>
    <mergeCell ref="M14:N16"/>
    <mergeCell ref="M81:N81"/>
    <mergeCell ref="M12:N12"/>
    <mergeCell ref="I8:K8"/>
    <mergeCell ref="M82:N82"/>
    <mergeCell ref="H2:H4"/>
    <mergeCell ref="I2:N4"/>
    <mergeCell ref="I13:K13"/>
    <mergeCell ref="M80:N80"/>
    <mergeCell ref="M79:N79"/>
    <mergeCell ref="M64:N78"/>
    <mergeCell ref="J9:J12"/>
  </mergeCells>
  <dataValidations count="5">
    <dataValidation type="whole" allowBlank="1" showInputMessage="1" showErrorMessage="1" sqref="G97 G87:G92">
      <formula1>0</formula1>
      <formula2>15000000</formula2>
    </dataValidation>
    <dataValidation type="decimal" allowBlank="1" showInputMessage="1" showErrorMessage="1" sqref="C81:D81 D83">
      <formula1>0</formula1>
      <formula2>9999999999.99</formula2>
    </dataValidation>
    <dataValidation type="decimal" allowBlank="1" showInputMessage="1" showErrorMessage="1" sqref="C29:D34 C64:D77 C37:D40 C43:D51 C54:D61 C24:D26 C20:C21 I20:J21 I24:I26 I29:I34 I37:I40 I43:I51 I54:I61 I64:I77">
      <formula1>0</formula1>
      <formula2>15000000</formula2>
    </dataValidation>
    <dataValidation type="decimal" allowBlank="1" showInputMessage="1" showErrorMessage="1" sqref="I14:I15 C14:D15 D18:D21 C18:C19 I18:J19">
      <formula1>0</formula1>
      <formula2>150000000</formula2>
    </dataValidation>
    <dataValidation allowBlank="1" showErrorMessage="1" promptTitle="Explanation of Variance" prompt="If an explanations was entered on the &quot;Home Delivered Meal Budget&quot; this cost center was updated with the same explanation. If this explanation is not correct for this service and cost center, delete the explanation and enter the correct information. " sqref="M64:N78 M14:N16 M18:N22 M24:N27 M29:N35 M37:N41 M43:N52 M54:N62"/>
  </dataValidations>
  <printOptions/>
  <pageMargins left="0.7" right="0.7" top="0.75" bottom="0.75" header="0.3" footer="0.3"/>
  <pageSetup fitToHeight="4" fitToWidth="1" horizontalDpi="600" verticalDpi="600" orientation="landscape" paperSize="5" scale="64" r:id="rId1"/>
</worksheet>
</file>

<file path=xl/worksheets/sheet18.xml><?xml version="1.0" encoding="utf-8"?>
<worksheet xmlns="http://schemas.openxmlformats.org/spreadsheetml/2006/main" xmlns:r="http://schemas.openxmlformats.org/officeDocument/2006/relationships">
  <sheetPr codeName="Sheet17">
    <tabColor rgb="FF0070C0"/>
    <pageSetUpPr fitToPage="1"/>
  </sheetPr>
  <dimension ref="B1:M118"/>
  <sheetViews>
    <sheetView showGridLines="0" zoomScale="80" zoomScaleNormal="80" zoomScalePageLayoutView="0" workbookViewId="0" topLeftCell="A1">
      <selection activeCell="AI51" sqref="AI51"/>
    </sheetView>
  </sheetViews>
  <sheetFormatPr defaultColWidth="9.140625" defaultRowHeight="12.75"/>
  <cols>
    <col min="1" max="1" width="2.8515625" style="2" customWidth="1"/>
    <col min="2" max="2" width="3.8515625" style="2" customWidth="1"/>
    <col min="3" max="3" width="2.57421875" style="2" customWidth="1"/>
    <col min="4" max="4" width="21.140625" style="2" customWidth="1"/>
    <col min="5" max="5" width="9.421875" style="2" customWidth="1"/>
    <col min="6" max="6" width="14.28125" style="2" customWidth="1"/>
    <col min="7" max="7" width="13.7109375" style="2" customWidth="1"/>
    <col min="8" max="8" width="14.8515625" style="2" customWidth="1"/>
    <col min="9" max="9" width="12.140625" style="2" customWidth="1"/>
    <col min="10" max="10" width="9.421875" style="2" customWidth="1"/>
    <col min="11" max="11" width="3.421875" style="2" customWidth="1"/>
    <col min="12" max="12" width="14.8515625" style="2" customWidth="1"/>
    <col min="13" max="14" width="3.28125" style="2" customWidth="1"/>
    <col min="15" max="16384" width="9.140625" style="2" customWidth="1"/>
  </cols>
  <sheetData>
    <row r="1" spans="4:5" ht="12.75">
      <c r="D1" s="1088">
        <f ca="1">NOW()</f>
        <v>44650.39911342593</v>
      </c>
      <c r="E1" s="1088"/>
    </row>
    <row r="2" spans="3:12" ht="12.75">
      <c r="C2" s="158"/>
      <c r="D2" s="367" t="s">
        <v>26</v>
      </c>
      <c r="E2" s="816">
        <f>+'Provider Information'!F6</f>
        <v>0</v>
      </c>
      <c r="F2" s="817"/>
      <c r="G2" s="817"/>
      <c r="H2" s="817"/>
      <c r="I2" s="817"/>
      <c r="J2" s="13"/>
      <c r="K2" s="235"/>
      <c r="L2" s="235"/>
    </row>
    <row r="3" spans="3:12" ht="12.75">
      <c r="C3" s="158"/>
      <c r="D3" s="644" t="s">
        <v>389</v>
      </c>
      <c r="E3" s="816" t="str">
        <f>+'Provider Information'!D21</f>
        <v>Area Agency on Aging of Deep East Texas</v>
      </c>
      <c r="F3" s="816"/>
      <c r="G3" s="816"/>
      <c r="H3" s="816"/>
      <c r="I3" s="816"/>
      <c r="J3" s="816"/>
      <c r="K3" s="643"/>
      <c r="L3" s="643"/>
    </row>
    <row r="4" spans="3:12" ht="15.75">
      <c r="C4" s="1130" t="str">
        <f>+'Provider Total Budget by Serv'!K4</f>
        <v>Transportation</v>
      </c>
      <c r="D4" s="1129"/>
      <c r="E4" s="1129"/>
      <c r="F4" s="1129"/>
      <c r="G4" s="1129"/>
      <c r="H4" s="1129"/>
      <c r="I4" s="1129"/>
      <c r="J4" s="1129"/>
      <c r="K4" s="1129"/>
      <c r="L4" s="1129"/>
    </row>
    <row r="5" spans="3:12" ht="15.75">
      <c r="C5" s="1129" t="s">
        <v>293</v>
      </c>
      <c r="D5" s="1129"/>
      <c r="E5" s="1129"/>
      <c r="F5" s="1129"/>
      <c r="G5" s="1129"/>
      <c r="H5" s="1129"/>
      <c r="I5" s="1129"/>
      <c r="J5" s="1129"/>
      <c r="K5" s="1129"/>
      <c r="L5" s="1129"/>
    </row>
    <row r="6" spans="3:12" ht="12.75">
      <c r="C6" s="775"/>
      <c r="D6" s="775"/>
      <c r="E6" s="775"/>
      <c r="F6" s="775"/>
      <c r="G6" s="775"/>
      <c r="H6" s="775"/>
      <c r="I6" s="775"/>
      <c r="J6" s="775"/>
      <c r="K6" s="775"/>
      <c r="L6" s="775"/>
    </row>
    <row r="7" spans="3:12" ht="12.75">
      <c r="C7" s="942" t="s">
        <v>292</v>
      </c>
      <c r="D7" s="942"/>
      <c r="E7" s="942"/>
      <c r="F7" s="942"/>
      <c r="G7" s="942"/>
      <c r="H7" s="942"/>
      <c r="I7" s="942"/>
      <c r="J7" s="942"/>
      <c r="K7" s="5" t="s">
        <v>0</v>
      </c>
      <c r="L7" s="6">
        <f>+'Transportation Budget'!I80</f>
        <v>0</v>
      </c>
    </row>
    <row r="8" spans="3:12" ht="12.75">
      <c r="C8" s="775"/>
      <c r="D8" s="775"/>
      <c r="E8" s="775"/>
      <c r="F8" s="775"/>
      <c r="G8" s="775"/>
      <c r="H8" s="775"/>
      <c r="I8" s="775"/>
      <c r="J8" s="775"/>
      <c r="K8" s="775"/>
      <c r="L8" s="775"/>
    </row>
    <row r="9" spans="3:12" ht="12.75">
      <c r="C9" s="942" t="s">
        <v>291</v>
      </c>
      <c r="D9" s="942"/>
      <c r="E9" s="942"/>
      <c r="F9" s="942"/>
      <c r="G9" s="942"/>
      <c r="H9" s="942"/>
      <c r="I9" s="942"/>
      <c r="J9" s="942"/>
      <c r="K9" s="942"/>
      <c r="L9" s="942"/>
    </row>
    <row r="10" spans="3:12" ht="25.5">
      <c r="C10" s="1101" t="str">
        <f>+'Transportation Budget'!B87</f>
        <v>HHS OAAA - 10 % Match Required</v>
      </c>
      <c r="D10" s="1101"/>
      <c r="E10" s="139">
        <f>+'Transportation Budget'!G87</f>
        <v>0</v>
      </c>
      <c r="F10" s="81" t="str">
        <f>+'Transportation Budget'!B90</f>
        <v>Program Income </v>
      </c>
      <c r="G10" s="139">
        <f>+'Transportation Budget'!G90</f>
        <v>0</v>
      </c>
      <c r="H10" s="81" t="str">
        <f>+'Transportation Budget'!B95</f>
        <v>Other Sources 6</v>
      </c>
      <c r="I10" s="139">
        <f>+'Transportation Budget'!G95</f>
        <v>0</v>
      </c>
      <c r="J10" s="3"/>
      <c r="K10" s="3"/>
      <c r="L10" s="3"/>
    </row>
    <row r="11" spans="3:12" ht="25.5">
      <c r="C11" s="1096" t="str">
        <f>+'Transportation Budget'!B88</f>
        <v>HHS OAAA - 25 % Match Required</v>
      </c>
      <c r="D11" s="1096"/>
      <c r="E11" s="139">
        <f>+'Transportation Budget'!G88</f>
        <v>0</v>
      </c>
      <c r="F11" s="81" t="str">
        <f>+'Transportation Budget'!B91</f>
        <v>Local Funds - Eligible Trips</v>
      </c>
      <c r="G11" s="139">
        <f>+'Transportation Budget'!G91</f>
        <v>0</v>
      </c>
      <c r="H11" s="81" t="str">
        <f>+'Transportation Budget'!B96</f>
        <v>Other Sources 7</v>
      </c>
      <c r="I11" s="139">
        <f>+'Transportation Budget'!G96</f>
        <v>0</v>
      </c>
      <c r="J11" s="954"/>
      <c r="K11" s="954"/>
      <c r="L11" s="954"/>
    </row>
    <row r="12" spans="3:12" ht="38.25">
      <c r="C12" s="1096" t="str">
        <f>+'Transportation Budget'!B89</f>
        <v>HHS OAAA - Full Unit Rate </v>
      </c>
      <c r="D12" s="1096"/>
      <c r="E12" s="139">
        <f>+'Transportation Budget'!G89</f>
        <v>0</v>
      </c>
      <c r="F12" s="81" t="str">
        <f>+'Transportation Budget'!B92</f>
        <v>Other Funds - Non-Eligible Trips</v>
      </c>
      <c r="G12" s="139">
        <f>+'Transportation Budget'!G92</f>
        <v>0</v>
      </c>
      <c r="H12" s="81" t="str">
        <f>+'Transportation Budget'!B97</f>
        <v>Other Sources 8</v>
      </c>
      <c r="I12" s="139">
        <f>+'Transportation Budget'!G97</f>
        <v>0</v>
      </c>
      <c r="J12" s="15"/>
      <c r="K12" s="46" t="s">
        <v>2</v>
      </c>
      <c r="L12" s="9">
        <f>+E10+E11+E12+G10+G11+G12+I10+I11+I12</f>
        <v>0</v>
      </c>
    </row>
    <row r="13" spans="3:12" ht="9.75" customHeight="1">
      <c r="C13" s="775"/>
      <c r="D13" s="775"/>
      <c r="E13" s="775"/>
      <c r="F13" s="775"/>
      <c r="G13" s="775"/>
      <c r="H13" s="775"/>
      <c r="I13" s="775"/>
      <c r="J13" s="775"/>
      <c r="K13" s="775"/>
      <c r="L13" s="775"/>
    </row>
    <row r="14" spans="3:12" ht="12.75">
      <c r="C14" s="957"/>
      <c r="D14" s="957"/>
      <c r="E14" s="957"/>
      <c r="F14" s="957"/>
      <c r="G14" s="957"/>
      <c r="H14" s="957"/>
      <c r="I14" s="957"/>
      <c r="J14" s="957"/>
      <c r="K14" s="957"/>
      <c r="L14" s="957"/>
    </row>
    <row r="15" spans="3:12" ht="6.75" customHeight="1">
      <c r="C15" s="775"/>
      <c r="D15" s="775"/>
      <c r="E15" s="775"/>
      <c r="F15" s="775"/>
      <c r="G15" s="775"/>
      <c r="H15" s="775"/>
      <c r="I15" s="775"/>
      <c r="J15" s="775"/>
      <c r="K15" s="775"/>
      <c r="L15" s="775"/>
    </row>
    <row r="16" spans="3:12" ht="12.75">
      <c r="C16" s="942" t="s">
        <v>290</v>
      </c>
      <c r="D16" s="942"/>
      <c r="E16" s="942"/>
      <c r="F16" s="942"/>
      <c r="G16" s="942"/>
      <c r="H16" s="942"/>
      <c r="I16" s="942"/>
      <c r="J16" s="942"/>
      <c r="K16" s="5" t="s">
        <v>3</v>
      </c>
      <c r="L16" s="45">
        <f>ROUND(IF(L12=0,0,+L7/L12),2)</f>
        <v>0</v>
      </c>
    </row>
    <row r="17" spans="3:12" ht="12.75">
      <c r="C17" s="775"/>
      <c r="D17" s="775"/>
      <c r="E17" s="775"/>
      <c r="F17" s="775"/>
      <c r="G17" s="775"/>
      <c r="H17" s="775"/>
      <c r="I17" s="775"/>
      <c r="J17" s="775"/>
      <c r="K17" s="775"/>
      <c r="L17" s="775"/>
    </row>
    <row r="18" spans="3:12" ht="12.75">
      <c r="C18" s="1095" t="s">
        <v>289</v>
      </c>
      <c r="D18" s="1095"/>
      <c r="E18" s="1095"/>
      <c r="F18" s="1095"/>
      <c r="G18" s="1095"/>
      <c r="H18" s="1095"/>
      <c r="I18" s="1095"/>
      <c r="J18" s="1095"/>
      <c r="K18" s="1095"/>
      <c r="L18" s="1095"/>
    </row>
    <row r="19" spans="3:12" ht="12.75">
      <c r="C19" s="166"/>
      <c r="D19" s="166"/>
      <c r="E19" s="166"/>
      <c r="F19" s="166"/>
      <c r="G19" s="166"/>
      <c r="H19" s="166"/>
      <c r="I19" s="166"/>
      <c r="J19" s="166"/>
      <c r="K19" s="166"/>
      <c r="L19" s="166"/>
    </row>
    <row r="20" spans="2:13" ht="12.75">
      <c r="B20" s="164"/>
      <c r="C20" s="934"/>
      <c r="D20" s="934"/>
      <c r="E20" s="934"/>
      <c r="F20" s="934"/>
      <c r="G20" s="934"/>
      <c r="H20" s="934"/>
      <c r="I20" s="934"/>
      <c r="J20" s="934"/>
      <c r="K20" s="934"/>
      <c r="L20" s="934"/>
      <c r="M20" s="59"/>
    </row>
    <row r="21" spans="2:13" ht="12.75">
      <c r="B21" s="72"/>
      <c r="C21" s="159" t="s">
        <v>288</v>
      </c>
      <c r="D21" s="159"/>
      <c r="E21" s="160">
        <v>0.1</v>
      </c>
      <c r="F21" s="8"/>
      <c r="G21" s="8"/>
      <c r="H21" s="8"/>
      <c r="I21" s="165">
        <f>ROUND(IF(L16="","",+L16*E21),2)</f>
        <v>0</v>
      </c>
      <c r="J21" s="8"/>
      <c r="K21" s="8"/>
      <c r="L21" s="8"/>
      <c r="M21" s="61"/>
    </row>
    <row r="22" spans="2:13" ht="12.75">
      <c r="B22" s="72"/>
      <c r="C22" s="1093" t="s">
        <v>287</v>
      </c>
      <c r="D22" s="1093"/>
      <c r="E22" s="1093"/>
      <c r="F22" s="1093"/>
      <c r="G22" s="1093"/>
      <c r="H22" s="1093"/>
      <c r="I22" s="6">
        <f>ROUND(-J111,2)</f>
        <v>0</v>
      </c>
      <c r="J22" s="8"/>
      <c r="K22" s="8"/>
      <c r="L22" s="8"/>
      <c r="M22" s="61"/>
    </row>
    <row r="23" spans="2:13" ht="12.75">
      <c r="B23" s="72"/>
      <c r="C23" s="1094" t="s">
        <v>286</v>
      </c>
      <c r="D23" s="1094"/>
      <c r="E23" s="1094"/>
      <c r="F23" s="1094"/>
      <c r="G23" s="8"/>
      <c r="H23" s="12"/>
      <c r="I23" s="137"/>
      <c r="J23" s="12"/>
      <c r="K23" s="157" t="s">
        <v>285</v>
      </c>
      <c r="L23" s="6">
        <f>IF(+I21="",0,+I21+I22)</f>
        <v>0</v>
      </c>
      <c r="M23" s="61"/>
    </row>
    <row r="24" spans="2:13" ht="12.75">
      <c r="B24" s="72"/>
      <c r="C24" s="1092" t="s">
        <v>284</v>
      </c>
      <c r="D24" s="1092"/>
      <c r="E24" s="1092"/>
      <c r="F24" s="1092"/>
      <c r="G24" s="8"/>
      <c r="H24" s="8"/>
      <c r="I24" s="136"/>
      <c r="J24" s="158"/>
      <c r="K24" s="157" t="s">
        <v>283</v>
      </c>
      <c r="L24" s="165">
        <f>ROUND(IF(L16&gt;0,L16-L23,0),2)</f>
        <v>0</v>
      </c>
      <c r="M24" s="61"/>
    </row>
    <row r="25" spans="2:13" ht="12.75">
      <c r="B25" s="80"/>
      <c r="C25" s="156"/>
      <c r="D25" s="156"/>
      <c r="E25" s="156"/>
      <c r="F25" s="156"/>
      <c r="G25" s="7"/>
      <c r="H25" s="7"/>
      <c r="I25" s="6"/>
      <c r="J25" s="155"/>
      <c r="K25" s="154"/>
      <c r="L25" s="6"/>
      <c r="M25" s="66"/>
    </row>
    <row r="26" spans="2:13" ht="12.75">
      <c r="B26" s="8"/>
      <c r="C26" s="159"/>
      <c r="D26" s="159"/>
      <c r="E26" s="159"/>
      <c r="F26" s="159"/>
      <c r="G26" s="8"/>
      <c r="H26" s="8"/>
      <c r="I26" s="136"/>
      <c r="J26" s="158"/>
      <c r="K26" s="157"/>
      <c r="L26" s="136"/>
      <c r="M26" s="8"/>
    </row>
    <row r="27" spans="2:13" ht="12.75">
      <c r="B27" s="164"/>
      <c r="C27" s="163"/>
      <c r="D27" s="163"/>
      <c r="E27" s="163"/>
      <c r="F27" s="163"/>
      <c r="G27" s="58"/>
      <c r="H27" s="58"/>
      <c r="I27" s="161"/>
      <c r="J27" s="56"/>
      <c r="K27" s="162"/>
      <c r="L27" s="161"/>
      <c r="M27" s="59"/>
    </row>
    <row r="28" spans="2:13" ht="12.75">
      <c r="B28" s="72"/>
      <c r="C28" s="159" t="s">
        <v>288</v>
      </c>
      <c r="D28" s="159"/>
      <c r="E28" s="160">
        <v>0.25</v>
      </c>
      <c r="F28" s="8"/>
      <c r="G28" s="8"/>
      <c r="H28" s="8"/>
      <c r="I28" s="6">
        <f>ROUND(IF(L16="","",+L16*E28),2)</f>
        <v>0</v>
      </c>
      <c r="J28" s="8"/>
      <c r="K28" s="8"/>
      <c r="L28" s="8"/>
      <c r="M28" s="61"/>
    </row>
    <row r="29" spans="2:13" ht="12.75">
      <c r="B29" s="72"/>
      <c r="C29" s="1093" t="s">
        <v>287</v>
      </c>
      <c r="D29" s="1093"/>
      <c r="E29" s="1093"/>
      <c r="F29" s="1093"/>
      <c r="G29" s="1093"/>
      <c r="H29" s="1093"/>
      <c r="I29" s="6">
        <f>ROUND(-J111,2)</f>
        <v>0</v>
      </c>
      <c r="J29" s="8"/>
      <c r="K29" s="8"/>
      <c r="L29" s="8"/>
      <c r="M29" s="61"/>
    </row>
    <row r="30" spans="2:13" ht="12.75">
      <c r="B30" s="72"/>
      <c r="C30" s="1094" t="s">
        <v>286</v>
      </c>
      <c r="D30" s="1094"/>
      <c r="E30" s="1094"/>
      <c r="F30" s="1094"/>
      <c r="G30" s="8"/>
      <c r="H30" s="12"/>
      <c r="I30" s="137"/>
      <c r="J30" s="12"/>
      <c r="K30" s="157" t="s">
        <v>285</v>
      </c>
      <c r="L30" s="6">
        <f>IF(+I28="",0,+I28+I29)</f>
        <v>0</v>
      </c>
      <c r="M30" s="61"/>
    </row>
    <row r="31" spans="2:13" ht="12.75">
      <c r="B31" s="72"/>
      <c r="C31" s="1092" t="s">
        <v>284</v>
      </c>
      <c r="D31" s="1092"/>
      <c r="E31" s="1092"/>
      <c r="F31" s="1092"/>
      <c r="G31" s="8"/>
      <c r="H31" s="8"/>
      <c r="I31" s="136"/>
      <c r="J31" s="158"/>
      <c r="K31" s="157" t="s">
        <v>283</v>
      </c>
      <c r="L31" s="6">
        <f>ROUND(IF(L16&gt;0,L16-L30,0),2)</f>
        <v>0</v>
      </c>
      <c r="M31" s="61"/>
    </row>
    <row r="32" spans="2:13" ht="12.75">
      <c r="B32" s="80"/>
      <c r="C32" s="156"/>
      <c r="D32" s="156"/>
      <c r="E32" s="156"/>
      <c r="F32" s="156"/>
      <c r="G32" s="7"/>
      <c r="H32" s="7"/>
      <c r="I32" s="6"/>
      <c r="J32" s="155"/>
      <c r="K32" s="154"/>
      <c r="L32" s="6"/>
      <c r="M32" s="66"/>
    </row>
    <row r="33" spans="3:12" ht="12.75">
      <c r="C33" s="4"/>
      <c r="D33" s="4"/>
      <c r="E33" s="4"/>
      <c r="F33" s="4"/>
      <c r="I33" s="136"/>
      <c r="J33" s="76"/>
      <c r="K33" s="5"/>
      <c r="L33" s="136"/>
    </row>
    <row r="35" ht="12.75">
      <c r="C35" s="2" t="s">
        <v>282</v>
      </c>
    </row>
    <row r="37" spans="2:13" ht="13.5" thickBot="1">
      <c r="B37" s="146"/>
      <c r="C37" s="146"/>
      <c r="D37" s="146"/>
      <c r="E37" s="146"/>
      <c r="F37" s="146"/>
      <c r="G37" s="146"/>
      <c r="H37" s="146"/>
      <c r="I37" s="146"/>
      <c r="J37" s="146"/>
      <c r="K37" s="146"/>
      <c r="L37" s="146"/>
      <c r="M37" s="146"/>
    </row>
    <row r="38" spans="2:13" ht="13.5" thickTop="1">
      <c r="B38" s="153"/>
      <c r="M38" s="152"/>
    </row>
    <row r="39" spans="2:13" ht="12.75">
      <c r="B39" s="149"/>
      <c r="C39" s="151" t="s">
        <v>281</v>
      </c>
      <c r="M39" s="148"/>
    </row>
    <row r="40" spans="2:13" ht="12.75">
      <c r="B40" s="149"/>
      <c r="L40" s="150"/>
      <c r="M40" s="148"/>
    </row>
    <row r="41" spans="2:13" ht="12.75">
      <c r="B41" s="149"/>
      <c r="D41" s="45">
        <f>+L16</f>
        <v>0</v>
      </c>
      <c r="F41" s="7"/>
      <c r="H41" s="7"/>
      <c r="L41" s="150"/>
      <c r="M41" s="148"/>
    </row>
    <row r="42" spans="2:13" ht="12.75">
      <c r="B42" s="149"/>
      <c r="F42" s="2" t="s">
        <v>280</v>
      </c>
      <c r="H42" s="3" t="s">
        <v>279</v>
      </c>
      <c r="L42" s="150"/>
      <c r="M42" s="148"/>
    </row>
    <row r="43" spans="2:13" ht="12.75">
      <c r="B43" s="149"/>
      <c r="M43" s="148"/>
    </row>
    <row r="44" spans="2:13" ht="13.5" thickBot="1">
      <c r="B44" s="147"/>
      <c r="C44" s="146"/>
      <c r="D44" s="146"/>
      <c r="E44" s="146"/>
      <c r="F44" s="146"/>
      <c r="G44" s="146"/>
      <c r="H44" s="146"/>
      <c r="I44" s="146"/>
      <c r="J44" s="146"/>
      <c r="K44" s="146"/>
      <c r="L44" s="146"/>
      <c r="M44" s="145"/>
    </row>
    <row r="45" spans="8:12" ht="13.5" thickTop="1">
      <c r="H45" s="3"/>
      <c r="L45" s="136"/>
    </row>
    <row r="48" spans="4:11" ht="40.5" customHeight="1">
      <c r="D48" s="1040">
        <f>IF(+'Transportation Budget'!C2=0,"",'Transportation Budget'!C2)</f>
      </c>
      <c r="E48" s="1040"/>
      <c r="F48" s="1040"/>
      <c r="H48" s="1038" t="str">
        <f>IF(+'Transportation Budget'!C3=0,"",+'Transportation Budget'!C3)</f>
        <v>Area Agency on Aging of Deep East Texas</v>
      </c>
      <c r="I48" s="1038"/>
      <c r="J48" s="1038"/>
      <c r="K48" s="1038"/>
    </row>
    <row r="49" spans="4:11" ht="12.75">
      <c r="D49" s="934" t="s">
        <v>33</v>
      </c>
      <c r="E49" s="934"/>
      <c r="F49" s="934"/>
      <c r="H49" s="934" t="s">
        <v>37</v>
      </c>
      <c r="I49" s="934"/>
      <c r="J49" s="934"/>
      <c r="K49" s="934"/>
    </row>
    <row r="52" spans="4:11" ht="12.75">
      <c r="D52" s="1037"/>
      <c r="E52" s="939"/>
      <c r="F52" s="939"/>
      <c r="H52" s="1037"/>
      <c r="I52" s="939"/>
      <c r="J52" s="939"/>
      <c r="K52" s="939"/>
    </row>
    <row r="53" spans="4:11" ht="12.75">
      <c r="D53" s="934" t="s">
        <v>35</v>
      </c>
      <c r="E53" s="934"/>
      <c r="F53" s="934"/>
      <c r="H53" s="934" t="s">
        <v>35</v>
      </c>
      <c r="I53" s="934"/>
      <c r="J53" s="934"/>
      <c r="K53" s="934"/>
    </row>
    <row r="55" spans="4:11" ht="12.75">
      <c r="D55" s="1037">
        <f>'Provider Information'!$F$13</f>
        <v>0</v>
      </c>
      <c r="E55" s="939"/>
      <c r="F55" s="939"/>
      <c r="H55" s="1037" t="str">
        <f>'Provider Information'!$D$22</f>
        <v>Tyson Silas</v>
      </c>
      <c r="I55" s="939"/>
      <c r="J55" s="939"/>
      <c r="K55" s="939"/>
    </row>
    <row r="56" spans="4:11" ht="12.75">
      <c r="D56" s="934" t="s">
        <v>34</v>
      </c>
      <c r="E56" s="934"/>
      <c r="F56" s="934"/>
      <c r="H56" s="934" t="s">
        <v>34</v>
      </c>
      <c r="I56" s="934"/>
      <c r="J56" s="934"/>
      <c r="K56" s="934"/>
    </row>
    <row r="59" spans="4:11" ht="12.75">
      <c r="D59" s="1097"/>
      <c r="E59" s="1098"/>
      <c r="F59" s="1098"/>
      <c r="H59" s="1097"/>
      <c r="I59" s="1098"/>
      <c r="J59" s="1098"/>
      <c r="K59" s="1098"/>
    </row>
    <row r="60" spans="4:11" ht="12.75">
      <c r="D60" s="934" t="s">
        <v>36</v>
      </c>
      <c r="E60" s="934"/>
      <c r="F60" s="934"/>
      <c r="H60" s="934" t="s">
        <v>36</v>
      </c>
      <c r="I60" s="934"/>
      <c r="J60" s="934"/>
      <c r="K60" s="934"/>
    </row>
    <row r="102" spans="4:10" ht="12.75">
      <c r="D102" s="943" t="s">
        <v>58</v>
      </c>
      <c r="E102" s="943"/>
      <c r="F102" s="943"/>
      <c r="G102" s="943"/>
      <c r="H102" s="943"/>
      <c r="I102" s="943"/>
      <c r="J102" s="943"/>
    </row>
    <row r="103" spans="4:10" ht="12.75">
      <c r="D103" s="2" t="s">
        <v>59</v>
      </c>
      <c r="J103" s="13">
        <f>+I21</f>
        <v>0</v>
      </c>
    </row>
    <row r="104" spans="4:10" ht="12.75">
      <c r="D104" s="2" t="s">
        <v>278</v>
      </c>
      <c r="J104" s="9">
        <f>IF(E10=0,L12,+E10)</f>
        <v>0</v>
      </c>
    </row>
    <row r="105" spans="4:10" ht="12.75">
      <c r="D105" s="2" t="s">
        <v>60</v>
      </c>
      <c r="E105" s="3"/>
      <c r="J105" s="144">
        <f>+J103*J104</f>
        <v>0</v>
      </c>
    </row>
    <row r="106" spans="4:10" ht="12.75">
      <c r="D106" s="2" t="s">
        <v>61</v>
      </c>
      <c r="J106" s="17">
        <f>+'In-Kind Certification Transp'!G25</f>
        <v>0</v>
      </c>
    </row>
    <row r="107" spans="4:10" ht="12.75">
      <c r="D107" s="2" t="s">
        <v>62</v>
      </c>
      <c r="J107" s="15">
        <f>+J105-J106</f>
        <v>0</v>
      </c>
    </row>
    <row r="108" spans="4:10" ht="12.75">
      <c r="D108" s="2" t="s">
        <v>78</v>
      </c>
      <c r="J108" s="9">
        <f>IF(+E10=0,L12,+E10)</f>
        <v>0</v>
      </c>
    </row>
    <row r="109" spans="4:12" ht="12.75">
      <c r="D109" s="2" t="s">
        <v>64</v>
      </c>
      <c r="J109" s="16">
        <f>IF(J107=0,0,+J107/J108)</f>
        <v>0</v>
      </c>
      <c r="K109" s="3"/>
      <c r="L109" s="3"/>
    </row>
    <row r="110" spans="4:10" ht="12.75">
      <c r="D110" s="2" t="s">
        <v>63</v>
      </c>
      <c r="J110" s="17">
        <f>+I21</f>
        <v>0</v>
      </c>
    </row>
    <row r="111" spans="4:10" ht="12.75">
      <c r="D111" s="2" t="s">
        <v>65</v>
      </c>
      <c r="J111" s="18">
        <f>IF(+J109&lt;=0,+J110,+J110-J109)</f>
        <v>0</v>
      </c>
    </row>
    <row r="112" ht="12.75">
      <c r="J112" s="14"/>
    </row>
    <row r="113" ht="12.75">
      <c r="J113" s="15"/>
    </row>
    <row r="114" ht="12.75">
      <c r="J114" s="15"/>
    </row>
    <row r="115" ht="12.75">
      <c r="J115" s="15"/>
    </row>
    <row r="116" ht="12.75">
      <c r="J116" s="15"/>
    </row>
    <row r="117" ht="12.75">
      <c r="J117" s="15"/>
    </row>
    <row r="118" ht="12.75">
      <c r="J118" s="15"/>
    </row>
  </sheetData>
  <sheetProtection sheet="1" formatCells="0" formatColumns="0" formatRows="0"/>
  <mergeCells count="43">
    <mergeCell ref="D1:E1"/>
    <mergeCell ref="C5:L5"/>
    <mergeCell ref="E2:I2"/>
    <mergeCell ref="E3:J3"/>
    <mergeCell ref="C9:L9"/>
    <mergeCell ref="C8:L8"/>
    <mergeCell ref="C4:L4"/>
    <mergeCell ref="C6:L6"/>
    <mergeCell ref="C11:D11"/>
    <mergeCell ref="C13:L13"/>
    <mergeCell ref="C7:J7"/>
    <mergeCell ref="C10:D10"/>
    <mergeCell ref="C12:D12"/>
    <mergeCell ref="C16:J16"/>
    <mergeCell ref="C15:L15"/>
    <mergeCell ref="J11:L11"/>
    <mergeCell ref="D59:F59"/>
    <mergeCell ref="D60:F60"/>
    <mergeCell ref="H60:K60"/>
    <mergeCell ref="H59:K59"/>
    <mergeCell ref="C18:L18"/>
    <mergeCell ref="C14:L14"/>
    <mergeCell ref="C17:L17"/>
    <mergeCell ref="D48:F48"/>
    <mergeCell ref="C31:F31"/>
    <mergeCell ref="C30:F30"/>
    <mergeCell ref="D102:J102"/>
    <mergeCell ref="D53:F53"/>
    <mergeCell ref="H53:K53"/>
    <mergeCell ref="H55:K55"/>
    <mergeCell ref="D56:F56"/>
    <mergeCell ref="H56:K56"/>
    <mergeCell ref="D55:F55"/>
    <mergeCell ref="C20:L20"/>
    <mergeCell ref="C29:H29"/>
    <mergeCell ref="D52:F52"/>
    <mergeCell ref="H52:K52"/>
    <mergeCell ref="H48:K48"/>
    <mergeCell ref="C24:F24"/>
    <mergeCell ref="C22:H22"/>
    <mergeCell ref="C23:F23"/>
    <mergeCell ref="D49:F49"/>
    <mergeCell ref="H49:K49"/>
  </mergeCells>
  <printOptions/>
  <pageMargins left="0.7" right="0.7" top="0.75" bottom="0.75" header="0.3" footer="0.3"/>
  <pageSetup fitToHeight="1" fitToWidth="1" horizontalDpi="600" verticalDpi="600" orientation="portrait" paperSize="5" scale="74" r:id="rId1"/>
</worksheet>
</file>

<file path=xl/worksheets/sheet19.xml><?xml version="1.0" encoding="utf-8"?>
<worksheet xmlns="http://schemas.openxmlformats.org/spreadsheetml/2006/main" xmlns:r="http://schemas.openxmlformats.org/officeDocument/2006/relationships">
  <sheetPr codeName="Sheet18">
    <tabColor rgb="FF0070C0"/>
    <pageSetUpPr fitToPage="1"/>
  </sheetPr>
  <dimension ref="B1:W47"/>
  <sheetViews>
    <sheetView showGridLines="0" zoomScale="90" zoomScaleNormal="90" zoomScaleSheetLayoutView="100" zoomScalePageLayoutView="0" workbookViewId="0" topLeftCell="A1">
      <selection activeCell="X38" sqref="X38"/>
    </sheetView>
  </sheetViews>
  <sheetFormatPr defaultColWidth="9.140625" defaultRowHeight="12.75"/>
  <cols>
    <col min="3" max="3" width="17.421875" style="0" customWidth="1"/>
    <col min="4" max="4" width="6.28125" style="0" customWidth="1"/>
    <col min="5" max="5" width="20.421875" style="0" bestFit="1" customWidth="1"/>
    <col min="6" max="6" width="6.00390625" style="0" customWidth="1"/>
    <col min="7" max="7" width="5.8515625" style="0" customWidth="1"/>
    <col min="8" max="8" width="13.421875" style="0" customWidth="1"/>
    <col min="9" max="10" width="9.140625" style="0" customWidth="1"/>
    <col min="11" max="11" width="5.140625" style="0" customWidth="1"/>
    <col min="13" max="13" width="11.8515625" style="0" customWidth="1"/>
  </cols>
  <sheetData>
    <row r="1" spans="3:4" ht="12.75">
      <c r="C1" s="1088">
        <f ca="1">NOW()</f>
        <v>44650.39911342593</v>
      </c>
      <c r="D1" s="1088"/>
    </row>
    <row r="2" spans="2:9" s="2" customFormat="1" ht="15">
      <c r="B2" s="647"/>
      <c r="C2" s="367" t="s">
        <v>26</v>
      </c>
      <c r="D2" s="816">
        <f>+'Provider Information'!F6</f>
        <v>0</v>
      </c>
      <c r="E2" s="817"/>
      <c r="F2" s="817"/>
      <c r="G2" s="817"/>
      <c r="H2" s="817"/>
      <c r="I2" s="13"/>
    </row>
    <row r="3" spans="2:9" s="2" customFormat="1" ht="15">
      <c r="B3" s="642"/>
      <c r="C3" s="644" t="s">
        <v>389</v>
      </c>
      <c r="D3" s="816" t="str">
        <f>+'Provider Information'!D21</f>
        <v>Area Agency on Aging of Deep East Texas</v>
      </c>
      <c r="E3" s="816"/>
      <c r="F3" s="816"/>
      <c r="G3" s="816"/>
      <c r="H3" s="816"/>
      <c r="I3" s="816"/>
    </row>
    <row r="4" spans="2:11" ht="18.75">
      <c r="B4" s="1131" t="str">
        <f>+'Provider Total Budget by Serv'!K4</f>
        <v>Transportation</v>
      </c>
      <c r="C4" s="1132"/>
      <c r="D4" s="1132"/>
      <c r="E4" s="1132"/>
      <c r="F4" s="1132"/>
      <c r="G4" s="1132"/>
      <c r="H4" s="1132"/>
      <c r="I4" s="1132"/>
      <c r="J4" s="1132"/>
      <c r="K4" s="1132"/>
    </row>
    <row r="5" spans="2:23" ht="18.75" customHeight="1">
      <c r="B5" s="1133" t="s">
        <v>79</v>
      </c>
      <c r="C5" s="1133"/>
      <c r="D5" s="1133"/>
      <c r="E5" s="1133"/>
      <c r="F5" s="1133"/>
      <c r="G5" s="1133"/>
      <c r="H5" s="1133"/>
      <c r="I5" s="1133"/>
      <c r="J5" s="1133"/>
      <c r="K5" s="1133"/>
      <c r="L5" s="1"/>
      <c r="M5" s="1"/>
      <c r="N5" s="1"/>
      <c r="O5" s="1"/>
      <c r="P5" s="1"/>
      <c r="Q5" s="1"/>
      <c r="R5" s="1"/>
      <c r="S5" s="1"/>
      <c r="T5" s="1"/>
      <c r="U5" s="1"/>
      <c r="V5" s="1"/>
      <c r="W5" s="1"/>
    </row>
    <row r="6" spans="2:23" ht="18.75">
      <c r="B6" s="929"/>
      <c r="C6" s="929"/>
      <c r="D6" s="929"/>
      <c r="E6" s="929"/>
      <c r="F6" s="142"/>
      <c r="G6" s="930"/>
      <c r="H6" s="931"/>
      <c r="I6" s="931"/>
      <c r="J6" s="931"/>
      <c r="K6" s="931"/>
      <c r="L6" s="1"/>
      <c r="M6" s="1"/>
      <c r="N6" s="1"/>
      <c r="O6" s="1"/>
      <c r="P6" s="1"/>
      <c r="Q6" s="1"/>
      <c r="R6" s="1"/>
      <c r="S6" s="1"/>
      <c r="T6" s="1"/>
      <c r="U6" s="1"/>
      <c r="V6" s="1"/>
      <c r="W6" s="1"/>
    </row>
    <row r="7" spans="2:23" ht="15.75">
      <c r="B7" s="55" t="s">
        <v>80</v>
      </c>
      <c r="C7" s="56"/>
      <c r="D7" s="56"/>
      <c r="E7" s="56"/>
      <c r="F7" s="56"/>
      <c r="G7" s="56"/>
      <c r="H7" s="56"/>
      <c r="I7" s="57"/>
      <c r="J7" s="58"/>
      <c r="K7" s="59"/>
      <c r="L7" s="1"/>
      <c r="M7" s="1"/>
      <c r="N7" s="1"/>
      <c r="O7" s="1"/>
      <c r="P7" s="1"/>
      <c r="Q7" s="1"/>
      <c r="R7" s="1"/>
      <c r="S7" s="1"/>
      <c r="T7" s="1"/>
      <c r="U7" s="1"/>
      <c r="V7" s="1"/>
      <c r="W7" s="1"/>
    </row>
    <row r="8" spans="2:23" ht="15.75">
      <c r="B8" s="60"/>
      <c r="C8" s="8"/>
      <c r="D8" s="8"/>
      <c r="E8" s="8"/>
      <c r="F8" s="8"/>
      <c r="G8" s="8"/>
      <c r="H8" s="8"/>
      <c r="I8" s="8"/>
      <c r="J8" s="8"/>
      <c r="K8" s="61"/>
      <c r="L8" s="1"/>
      <c r="M8" s="1"/>
      <c r="N8" s="1"/>
      <c r="O8" s="1"/>
      <c r="P8" s="1"/>
      <c r="Q8" s="1"/>
      <c r="R8" s="1"/>
      <c r="S8" s="1"/>
      <c r="T8" s="1"/>
      <c r="U8" s="1"/>
      <c r="V8" s="1"/>
      <c r="W8" s="1"/>
    </row>
    <row r="9" spans="2:23" ht="16.5">
      <c r="B9" s="62" t="s">
        <v>81</v>
      </c>
      <c r="C9" s="63" t="s">
        <v>82</v>
      </c>
      <c r="D9" s="8"/>
      <c r="E9" s="8"/>
      <c r="F9" s="8"/>
      <c r="G9" s="8"/>
      <c r="H9" s="8"/>
      <c r="I9" s="8"/>
      <c r="J9" s="8"/>
      <c r="K9" s="61"/>
      <c r="L9" s="1"/>
      <c r="M9" s="1"/>
      <c r="N9" s="1"/>
      <c r="O9" s="1"/>
      <c r="P9" s="1"/>
      <c r="Q9" s="1"/>
      <c r="R9" s="1"/>
      <c r="S9" s="1"/>
      <c r="T9" s="1"/>
      <c r="U9" s="1"/>
      <c r="V9" s="1"/>
      <c r="W9" s="1"/>
    </row>
    <row r="10" spans="2:23" ht="16.5">
      <c r="B10" s="62"/>
      <c r="C10" s="63"/>
      <c r="D10" s="8"/>
      <c r="E10" s="8"/>
      <c r="F10" s="8"/>
      <c r="G10" s="8"/>
      <c r="H10" s="8"/>
      <c r="I10" s="8"/>
      <c r="J10" s="8"/>
      <c r="K10" s="61"/>
      <c r="L10" s="1"/>
      <c r="M10" s="1"/>
      <c r="N10" s="1"/>
      <c r="O10" s="1"/>
      <c r="P10" s="1"/>
      <c r="Q10" s="1"/>
      <c r="R10" s="1"/>
      <c r="S10" s="1"/>
      <c r="T10" s="1"/>
      <c r="U10" s="1"/>
      <c r="V10" s="1"/>
      <c r="W10" s="1"/>
    </row>
    <row r="11" spans="2:23" ht="16.5">
      <c r="B11" s="62" t="s">
        <v>81</v>
      </c>
      <c r="C11" s="63" t="s">
        <v>83</v>
      </c>
      <c r="D11" s="8"/>
      <c r="E11" s="8"/>
      <c r="F11" s="8"/>
      <c r="G11" s="8"/>
      <c r="H11" s="8"/>
      <c r="I11" s="8"/>
      <c r="J11" s="8"/>
      <c r="K11" s="61"/>
      <c r="L11" s="1"/>
      <c r="M11" s="1"/>
      <c r="N11" s="1"/>
      <c r="O11" s="1"/>
      <c r="P11" s="1"/>
      <c r="Q11" s="1"/>
      <c r="R11" s="1"/>
      <c r="S11" s="1"/>
      <c r="T11" s="1"/>
      <c r="U11" s="1"/>
      <c r="V11" s="1"/>
      <c r="W11" s="1"/>
    </row>
    <row r="12" spans="2:23" ht="16.5">
      <c r="B12" s="62"/>
      <c r="C12" s="63"/>
      <c r="D12" s="8"/>
      <c r="E12" s="8"/>
      <c r="F12" s="8"/>
      <c r="G12" s="8"/>
      <c r="H12" s="8"/>
      <c r="I12" s="8"/>
      <c r="J12" s="8"/>
      <c r="K12" s="61"/>
      <c r="L12" s="1"/>
      <c r="M12" s="1"/>
      <c r="N12" s="1"/>
      <c r="O12" s="1"/>
      <c r="P12" s="1"/>
      <c r="Q12" s="1"/>
      <c r="R12" s="1"/>
      <c r="S12" s="1"/>
      <c r="T12" s="1"/>
      <c r="U12" s="1"/>
      <c r="V12" s="1"/>
      <c r="W12" s="1"/>
    </row>
    <row r="13" spans="2:23" ht="16.5">
      <c r="B13" s="62" t="s">
        <v>81</v>
      </c>
      <c r="C13" s="63" t="s">
        <v>84</v>
      </c>
      <c r="D13" s="8"/>
      <c r="E13" s="8"/>
      <c r="F13" s="8"/>
      <c r="G13" s="8"/>
      <c r="H13" s="8"/>
      <c r="I13" s="8"/>
      <c r="J13" s="8"/>
      <c r="K13" s="61"/>
      <c r="L13" s="1"/>
      <c r="M13" s="1"/>
      <c r="N13" s="1"/>
      <c r="O13" s="1"/>
      <c r="P13" s="1"/>
      <c r="Q13" s="1"/>
      <c r="R13" s="1"/>
      <c r="S13" s="1"/>
      <c r="T13" s="1"/>
      <c r="U13" s="1"/>
      <c r="V13" s="1"/>
      <c r="W13" s="1"/>
    </row>
    <row r="14" spans="2:23" ht="16.5">
      <c r="B14" s="62" t="s">
        <v>5</v>
      </c>
      <c r="C14" s="63" t="s">
        <v>85</v>
      </c>
      <c r="D14" s="64"/>
      <c r="E14" s="8"/>
      <c r="F14" s="8"/>
      <c r="G14" s="8"/>
      <c r="H14" s="8"/>
      <c r="I14" s="8"/>
      <c r="J14" s="8"/>
      <c r="K14" s="61"/>
      <c r="L14" s="1"/>
      <c r="M14" s="1"/>
      <c r="N14" s="1"/>
      <c r="O14" s="1"/>
      <c r="P14" s="1"/>
      <c r="Q14" s="1"/>
      <c r="R14" s="1"/>
      <c r="S14" s="1"/>
      <c r="T14" s="1"/>
      <c r="U14" s="1"/>
      <c r="V14" s="1"/>
      <c r="W14" s="1"/>
    </row>
    <row r="15" spans="2:23" ht="16.5">
      <c r="B15" s="62" t="s">
        <v>5</v>
      </c>
      <c r="C15" s="63" t="s">
        <v>86</v>
      </c>
      <c r="D15" s="64"/>
      <c r="E15" s="8"/>
      <c r="F15" s="8"/>
      <c r="G15" s="8"/>
      <c r="H15" s="8"/>
      <c r="I15" s="8"/>
      <c r="J15" s="8"/>
      <c r="K15" s="61"/>
      <c r="L15" s="1"/>
      <c r="M15" s="1"/>
      <c r="N15" s="1"/>
      <c r="O15" s="1"/>
      <c r="P15" s="1"/>
      <c r="Q15" s="1"/>
      <c r="R15" s="1"/>
      <c r="S15" s="1"/>
      <c r="T15" s="1"/>
      <c r="U15" s="1"/>
      <c r="V15" s="1"/>
      <c r="W15" s="1"/>
    </row>
    <row r="16" spans="2:23" ht="16.5">
      <c r="B16" s="62"/>
      <c r="C16" s="63"/>
      <c r="D16" s="8"/>
      <c r="E16" s="8"/>
      <c r="F16" s="8"/>
      <c r="G16" s="8"/>
      <c r="H16" s="8"/>
      <c r="I16" s="8"/>
      <c r="J16" s="8"/>
      <c r="K16" s="61"/>
      <c r="L16" s="1"/>
      <c r="M16" s="1"/>
      <c r="N16" s="1"/>
      <c r="O16" s="1"/>
      <c r="P16" s="1"/>
      <c r="Q16" s="1"/>
      <c r="R16" s="1"/>
      <c r="S16" s="1"/>
      <c r="T16" s="1"/>
      <c r="U16" s="1"/>
      <c r="V16" s="1"/>
      <c r="W16" s="1"/>
    </row>
    <row r="17" spans="2:23" ht="16.5">
      <c r="B17" s="62" t="s">
        <v>81</v>
      </c>
      <c r="C17" s="63" t="s">
        <v>87</v>
      </c>
      <c r="D17" s="8"/>
      <c r="E17" s="8"/>
      <c r="F17" s="8"/>
      <c r="G17" s="8"/>
      <c r="H17" s="8"/>
      <c r="I17" s="8"/>
      <c r="J17" s="8"/>
      <c r="K17" s="61"/>
      <c r="L17" s="1"/>
      <c r="M17" s="1"/>
      <c r="N17" s="1"/>
      <c r="O17" s="1"/>
      <c r="P17" s="1"/>
      <c r="Q17" s="1"/>
      <c r="R17" s="1"/>
      <c r="S17" s="1"/>
      <c r="T17" s="1"/>
      <c r="U17" s="1"/>
      <c r="V17" s="1"/>
      <c r="W17" s="1"/>
    </row>
    <row r="18" spans="2:23" ht="16.5">
      <c r="B18" s="65" t="s">
        <v>5</v>
      </c>
      <c r="C18" s="63" t="s">
        <v>88</v>
      </c>
      <c r="D18" s="64"/>
      <c r="E18" s="8"/>
      <c r="F18" s="8"/>
      <c r="G18" s="8"/>
      <c r="H18" s="8"/>
      <c r="I18" s="8"/>
      <c r="J18" s="8"/>
      <c r="K18" s="61"/>
      <c r="L18" s="1"/>
      <c r="M18" s="1"/>
      <c r="N18" s="1"/>
      <c r="O18" s="1"/>
      <c r="P18" s="1"/>
      <c r="Q18" s="1"/>
      <c r="R18" s="1"/>
      <c r="S18" s="1"/>
      <c r="T18" s="1"/>
      <c r="U18" s="1"/>
      <c r="V18" s="1"/>
      <c r="W18" s="1"/>
    </row>
    <row r="19" spans="2:23" ht="16.5">
      <c r="B19" s="65"/>
      <c r="C19" s="63"/>
      <c r="D19" s="64"/>
      <c r="E19" s="8"/>
      <c r="F19" s="8"/>
      <c r="G19" s="8"/>
      <c r="H19" s="8"/>
      <c r="I19" s="8"/>
      <c r="J19" s="8"/>
      <c r="K19" s="61"/>
      <c r="L19" s="1"/>
      <c r="M19" s="1"/>
      <c r="N19" s="1"/>
      <c r="O19" s="1"/>
      <c r="P19" s="1"/>
      <c r="Q19" s="1"/>
      <c r="R19" s="1"/>
      <c r="S19" s="1"/>
      <c r="T19" s="1"/>
      <c r="U19" s="1"/>
      <c r="V19" s="1"/>
      <c r="W19" s="1"/>
    </row>
    <row r="20" spans="2:23" ht="16.5">
      <c r="B20" s="62" t="s">
        <v>81</v>
      </c>
      <c r="C20" s="63" t="s">
        <v>119</v>
      </c>
      <c r="D20" s="64"/>
      <c r="E20" s="8"/>
      <c r="F20" s="8"/>
      <c r="G20" s="8"/>
      <c r="H20" s="8"/>
      <c r="I20" s="8"/>
      <c r="J20" s="8"/>
      <c r="K20" s="61"/>
      <c r="L20" s="1"/>
      <c r="M20" s="1"/>
      <c r="N20" s="1"/>
      <c r="O20" s="1"/>
      <c r="P20" s="1"/>
      <c r="Q20" s="1"/>
      <c r="R20" s="1"/>
      <c r="S20" s="1"/>
      <c r="T20" s="1"/>
      <c r="U20" s="1"/>
      <c r="V20" s="1"/>
      <c r="W20" s="1"/>
    </row>
    <row r="21" spans="2:23" ht="16.5">
      <c r="B21" s="65" t="s">
        <v>5</v>
      </c>
      <c r="C21" s="63" t="s">
        <v>120</v>
      </c>
      <c r="D21" s="64"/>
      <c r="E21" s="8"/>
      <c r="F21" s="8"/>
      <c r="G21" s="8"/>
      <c r="H21" s="8"/>
      <c r="I21" s="8"/>
      <c r="J21" s="8"/>
      <c r="K21" s="61"/>
      <c r="L21" s="1"/>
      <c r="M21" s="1"/>
      <c r="N21" s="1"/>
      <c r="O21" s="1"/>
      <c r="P21" s="1"/>
      <c r="Q21" s="1"/>
      <c r="R21" s="1"/>
      <c r="S21" s="1"/>
      <c r="T21" s="1"/>
      <c r="U21" s="1"/>
      <c r="V21" s="1"/>
      <c r="W21" s="1"/>
    </row>
    <row r="22" spans="2:23" ht="16.5">
      <c r="B22" s="72"/>
      <c r="C22" s="79" t="s">
        <v>121</v>
      </c>
      <c r="D22" s="718"/>
      <c r="E22" s="8"/>
      <c r="F22" s="8"/>
      <c r="G22" s="8"/>
      <c r="H22" s="8"/>
      <c r="I22" s="8"/>
      <c r="J22" s="8"/>
      <c r="K22" s="61"/>
      <c r="L22" s="1"/>
      <c r="M22" s="1"/>
      <c r="N22" s="1"/>
      <c r="O22" s="1"/>
      <c r="P22" s="1"/>
      <c r="Q22" s="1"/>
      <c r="R22" s="1"/>
      <c r="S22" s="1"/>
      <c r="T22" s="1"/>
      <c r="U22" s="1"/>
      <c r="V22" s="1"/>
      <c r="W22" s="1"/>
    </row>
    <row r="23" spans="2:23" ht="12.75">
      <c r="B23" s="80"/>
      <c r="C23" s="717"/>
      <c r="D23" s="7"/>
      <c r="E23" s="7"/>
      <c r="F23" s="7"/>
      <c r="G23" s="7"/>
      <c r="H23" s="7"/>
      <c r="I23" s="7"/>
      <c r="J23" s="7"/>
      <c r="K23" s="66"/>
      <c r="L23" s="1"/>
      <c r="M23" s="1"/>
      <c r="N23" s="1"/>
      <c r="O23" s="1"/>
      <c r="P23" s="1"/>
      <c r="Q23" s="1"/>
      <c r="R23" s="1"/>
      <c r="S23" s="1"/>
      <c r="T23" s="1"/>
      <c r="U23" s="1"/>
      <c r="V23" s="1"/>
      <c r="W23" s="1"/>
    </row>
    <row r="24" spans="2:23" ht="15.75">
      <c r="B24" s="67"/>
      <c r="C24" s="8"/>
      <c r="D24" s="8"/>
      <c r="E24" s="8"/>
      <c r="F24" s="8"/>
      <c r="G24" s="8"/>
      <c r="H24" s="8"/>
      <c r="I24" s="8"/>
      <c r="J24" s="8"/>
      <c r="K24" s="8"/>
      <c r="L24" s="1"/>
      <c r="M24" s="1"/>
      <c r="N24" s="1"/>
      <c r="O24" s="1"/>
      <c r="P24" s="1"/>
      <c r="Q24" s="1"/>
      <c r="R24" s="1"/>
      <c r="S24" s="1"/>
      <c r="T24" s="1"/>
      <c r="U24" s="1"/>
      <c r="V24" s="1"/>
      <c r="W24" s="1"/>
    </row>
    <row r="25" spans="2:23" ht="15.75">
      <c r="B25" s="68" t="s">
        <v>89</v>
      </c>
      <c r="C25" s="69" t="s">
        <v>90</v>
      </c>
      <c r="D25" s="69"/>
      <c r="E25" s="58"/>
      <c r="F25" s="58"/>
      <c r="G25" s="58"/>
      <c r="H25" s="58"/>
      <c r="I25" s="58"/>
      <c r="J25" s="58"/>
      <c r="K25" s="59"/>
      <c r="L25" s="1"/>
      <c r="M25" s="77"/>
      <c r="N25" s="1"/>
      <c r="O25" s="1"/>
      <c r="P25" s="1"/>
      <c r="Q25" s="1"/>
      <c r="R25" s="1"/>
      <c r="S25" s="1"/>
      <c r="T25" s="1"/>
      <c r="U25" s="1"/>
      <c r="V25" s="1"/>
      <c r="W25" s="1"/>
    </row>
    <row r="26" spans="2:23" ht="15.75">
      <c r="B26" s="70"/>
      <c r="C26" s="71" t="s">
        <v>91</v>
      </c>
      <c r="D26" s="71"/>
      <c r="E26" s="8"/>
      <c r="F26" s="8"/>
      <c r="G26" s="8"/>
      <c r="H26" s="8"/>
      <c r="I26" s="8"/>
      <c r="J26" s="8"/>
      <c r="K26" s="61"/>
      <c r="L26" s="1"/>
      <c r="M26" s="49"/>
      <c r="N26" s="1"/>
      <c r="O26" s="1"/>
      <c r="P26" s="1"/>
      <c r="Q26" s="1"/>
      <c r="R26" s="1"/>
      <c r="S26" s="1"/>
      <c r="T26" s="1"/>
      <c r="U26" s="1"/>
      <c r="V26" s="1"/>
      <c r="W26" s="1"/>
    </row>
    <row r="27" spans="2:23" ht="15.75">
      <c r="B27" s="72"/>
      <c r="C27" s="71" t="s">
        <v>92</v>
      </c>
      <c r="D27" s="71"/>
      <c r="E27" s="8"/>
      <c r="F27" s="8"/>
      <c r="G27" s="8"/>
      <c r="H27" s="8"/>
      <c r="I27" s="8"/>
      <c r="J27" s="8"/>
      <c r="K27" s="61"/>
      <c r="L27" s="1"/>
      <c r="M27" s="1"/>
      <c r="N27" s="1"/>
      <c r="O27" s="1"/>
      <c r="P27" s="1"/>
      <c r="Q27" s="1"/>
      <c r="R27" s="1"/>
      <c r="S27" s="1"/>
      <c r="T27" s="1"/>
      <c r="U27" s="1"/>
      <c r="V27" s="1"/>
      <c r="W27" s="1"/>
    </row>
    <row r="28" spans="2:23" ht="15.75">
      <c r="B28" s="70"/>
      <c r="C28" s="71" t="s">
        <v>93</v>
      </c>
      <c r="D28" s="71"/>
      <c r="E28" s="8"/>
      <c r="F28" s="8"/>
      <c r="G28" s="8"/>
      <c r="H28" s="8"/>
      <c r="I28" s="8"/>
      <c r="J28" s="8"/>
      <c r="K28" s="61"/>
      <c r="L28" s="1"/>
      <c r="M28" s="1"/>
      <c r="N28" s="1"/>
      <c r="O28" s="1"/>
      <c r="P28" s="1"/>
      <c r="Q28" s="1"/>
      <c r="R28" s="1"/>
      <c r="S28" s="1"/>
      <c r="T28" s="1"/>
      <c r="U28" s="1"/>
      <c r="V28" s="1"/>
      <c r="W28" s="1"/>
    </row>
    <row r="29" spans="2:23" ht="15.75">
      <c r="B29" s="70"/>
      <c r="C29" s="64" t="s">
        <v>94</v>
      </c>
      <c r="D29" s="64"/>
      <c r="E29" s="8"/>
      <c r="F29" s="8"/>
      <c r="G29" s="8"/>
      <c r="H29" s="8"/>
      <c r="I29" s="8"/>
      <c r="J29" s="8"/>
      <c r="K29" s="61"/>
      <c r="L29" s="1"/>
      <c r="M29" s="1"/>
      <c r="N29" s="1"/>
      <c r="O29" s="1"/>
      <c r="P29" s="1"/>
      <c r="Q29" s="1"/>
      <c r="R29" s="1"/>
      <c r="S29" s="1"/>
      <c r="T29" s="1"/>
      <c r="U29" s="1"/>
      <c r="V29" s="1"/>
      <c r="W29" s="1"/>
    </row>
    <row r="30" spans="2:23" ht="15.75">
      <c r="B30" s="73"/>
      <c r="C30" s="64" t="s">
        <v>95</v>
      </c>
      <c r="D30" s="64"/>
      <c r="E30" s="8"/>
      <c r="F30" s="8"/>
      <c r="G30" s="8"/>
      <c r="H30" s="8"/>
      <c r="I30" s="8"/>
      <c r="J30" s="8"/>
      <c r="K30" s="61"/>
      <c r="L30" s="1"/>
      <c r="M30" s="1"/>
      <c r="N30" s="1"/>
      <c r="O30" s="1"/>
      <c r="P30" s="1"/>
      <c r="Q30" s="1"/>
      <c r="R30" s="1"/>
      <c r="S30" s="1"/>
      <c r="T30" s="1"/>
      <c r="U30" s="1"/>
      <c r="V30" s="1"/>
      <c r="W30" s="1"/>
    </row>
    <row r="31" spans="2:23" ht="15.75">
      <c r="B31" s="70"/>
      <c r="C31" s="64" t="s">
        <v>96</v>
      </c>
      <c r="D31" s="64"/>
      <c r="E31" s="8"/>
      <c r="F31" s="8"/>
      <c r="G31" s="8"/>
      <c r="H31" s="8"/>
      <c r="I31" s="8"/>
      <c r="J31" s="8"/>
      <c r="K31" s="61"/>
      <c r="L31" s="1"/>
      <c r="M31" s="1"/>
      <c r="N31" s="1"/>
      <c r="O31" s="1"/>
      <c r="P31" s="1"/>
      <c r="Q31" s="1"/>
      <c r="R31" s="1"/>
      <c r="S31" s="1"/>
      <c r="T31" s="1"/>
      <c r="U31" s="1"/>
      <c r="V31" s="1"/>
      <c r="W31" s="1"/>
    </row>
    <row r="32" spans="2:23" ht="15.75">
      <c r="B32" s="74"/>
      <c r="C32" s="75" t="s">
        <v>97</v>
      </c>
      <c r="D32" s="75"/>
      <c r="E32" s="7"/>
      <c r="F32" s="7"/>
      <c r="G32" s="7"/>
      <c r="H32" s="7"/>
      <c r="I32" s="7"/>
      <c r="J32" s="7"/>
      <c r="K32" s="66"/>
      <c r="L32" s="1"/>
      <c r="M32" s="1"/>
      <c r="N32" s="1"/>
      <c r="O32" s="1"/>
      <c r="P32" s="1"/>
      <c r="Q32" s="1"/>
      <c r="R32" s="1"/>
      <c r="S32" s="1"/>
      <c r="T32" s="1"/>
      <c r="U32" s="1"/>
      <c r="V32" s="1"/>
      <c r="W32" s="1"/>
    </row>
    <row r="33" spans="2:23" ht="15.75">
      <c r="B33" s="67"/>
      <c r="C33" s="64"/>
      <c r="D33" s="64"/>
      <c r="E33" s="8"/>
      <c r="F33" s="8"/>
      <c r="G33" s="8"/>
      <c r="H33" s="8"/>
      <c r="I33" s="8"/>
      <c r="J33" s="8"/>
      <c r="K33" s="8"/>
      <c r="L33" s="1"/>
      <c r="M33" s="1"/>
      <c r="N33" s="1"/>
      <c r="O33" s="1"/>
      <c r="P33" s="1"/>
      <c r="Q33" s="1"/>
      <c r="R33" s="1"/>
      <c r="S33" s="1"/>
      <c r="T33" s="1"/>
      <c r="U33" s="1"/>
      <c r="V33" s="1"/>
      <c r="W33" s="1"/>
    </row>
    <row r="34" spans="2:23" ht="15.75">
      <c r="B34" s="67"/>
      <c r="C34" s="64"/>
      <c r="D34" s="64"/>
      <c r="E34" s="8"/>
      <c r="F34" s="8"/>
      <c r="G34" s="8"/>
      <c r="H34" s="8"/>
      <c r="I34" s="8"/>
      <c r="J34" s="8"/>
      <c r="K34" s="8"/>
      <c r="L34" s="1"/>
      <c r="M34" s="1"/>
      <c r="N34" s="1"/>
      <c r="O34" s="1"/>
      <c r="P34" s="1"/>
      <c r="Q34" s="1"/>
      <c r="R34" s="1"/>
      <c r="S34" s="1"/>
      <c r="T34" s="1"/>
      <c r="U34" s="1"/>
      <c r="V34" s="1"/>
      <c r="W34" s="1"/>
    </row>
    <row r="35" spans="3:10" ht="66.75" customHeight="1">
      <c r="C35" s="1103">
        <f>+'Transportation Budget'!C2</f>
        <v>0</v>
      </c>
      <c r="D35" s="1103"/>
      <c r="E35" s="1103"/>
      <c r="F35" s="236"/>
      <c r="G35" s="1045">
        <f>'Provider Information'!$F$13</f>
        <v>0</v>
      </c>
      <c r="H35" s="1045"/>
      <c r="I35" s="1045"/>
      <c r="J35" s="1045"/>
    </row>
    <row r="36" spans="3:10" ht="12.75">
      <c r="C36" s="1107" t="s">
        <v>98</v>
      </c>
      <c r="D36" s="1107"/>
      <c r="E36" s="1107"/>
      <c r="F36" s="237"/>
      <c r="G36" s="1102" t="s">
        <v>34</v>
      </c>
      <c r="H36" s="1102"/>
      <c r="I36" s="1102"/>
      <c r="J36" s="1102"/>
    </row>
    <row r="37" spans="2:10" ht="12.75">
      <c r="B37" s="51"/>
      <c r="C37" s="2"/>
      <c r="D37" s="2"/>
      <c r="E37" s="2"/>
      <c r="F37" s="2"/>
      <c r="G37" s="2"/>
      <c r="H37" s="2"/>
      <c r="I37" s="2"/>
      <c r="J37" s="2"/>
    </row>
    <row r="38" spans="2:10" ht="12.75">
      <c r="B38" s="51"/>
      <c r="C38" s="2"/>
      <c r="D38" s="2"/>
      <c r="E38" s="2"/>
      <c r="F38" s="2"/>
      <c r="G38" s="2"/>
      <c r="H38" s="2"/>
      <c r="I38" s="2"/>
      <c r="J38" s="2"/>
    </row>
    <row r="39" spans="3:10" ht="15.75">
      <c r="C39" s="1134"/>
      <c r="D39" s="1042"/>
      <c r="E39" s="1042"/>
      <c r="F39" s="236"/>
      <c r="G39" s="1045"/>
      <c r="H39" s="1045"/>
      <c r="I39" s="1045"/>
      <c r="J39" s="1045"/>
    </row>
    <row r="40" spans="3:10" ht="12.75">
      <c r="C40" s="1102" t="s">
        <v>36</v>
      </c>
      <c r="D40" s="1102"/>
      <c r="E40" s="1102"/>
      <c r="F40" s="238"/>
      <c r="G40" s="1102" t="s">
        <v>35</v>
      </c>
      <c r="H40" s="1102"/>
      <c r="I40" s="1102"/>
      <c r="J40" s="1102"/>
    </row>
    <row r="41" ht="12.75">
      <c r="B41" s="51"/>
    </row>
    <row r="42" ht="12.75">
      <c r="B42" s="51"/>
    </row>
    <row r="43" ht="12.75">
      <c r="B43" s="51"/>
    </row>
    <row r="44" spans="3:9" ht="15.75">
      <c r="C44" s="51" t="s">
        <v>99</v>
      </c>
      <c r="D44" s="53"/>
      <c r="E44" s="54" t="s">
        <v>100</v>
      </c>
      <c r="F44" s="53"/>
      <c r="G44" s="54" t="s">
        <v>101</v>
      </c>
      <c r="H44" s="54"/>
      <c r="I44" s="54"/>
    </row>
    <row r="45" spans="3:9" ht="15.75">
      <c r="C45" s="51" t="s">
        <v>102</v>
      </c>
      <c r="D45" s="53"/>
      <c r="E45" s="51" t="s">
        <v>103</v>
      </c>
      <c r="F45" s="53"/>
      <c r="G45" s="54" t="s">
        <v>104</v>
      </c>
      <c r="H45" s="54"/>
      <c r="I45" s="54"/>
    </row>
    <row r="46" spans="4:9" ht="15.75">
      <c r="D46" s="53"/>
      <c r="E46" s="54" t="s">
        <v>105</v>
      </c>
      <c r="F46" s="53"/>
      <c r="G46" s="54" t="s">
        <v>106</v>
      </c>
      <c r="H46" s="54"/>
      <c r="I46" s="54"/>
    </row>
    <row r="47" ht="12.75">
      <c r="B47" s="51"/>
    </row>
  </sheetData>
  <sheetProtection sheet="1" formatCells="0" formatColumns="0" formatRows="0"/>
  <mergeCells count="15">
    <mergeCell ref="C36:E36"/>
    <mergeCell ref="G36:J36"/>
    <mergeCell ref="C39:E39"/>
    <mergeCell ref="G39:J39"/>
    <mergeCell ref="D3:I3"/>
    <mergeCell ref="C1:D1"/>
    <mergeCell ref="C40:E40"/>
    <mergeCell ref="G40:J40"/>
    <mergeCell ref="B4:K4"/>
    <mergeCell ref="B5:K5"/>
    <mergeCell ref="B6:E6"/>
    <mergeCell ref="G6:K6"/>
    <mergeCell ref="C35:E35"/>
    <mergeCell ref="G35:J35"/>
    <mergeCell ref="D2:H2"/>
  </mergeCells>
  <printOptions/>
  <pageMargins left="0.7" right="0.7" top="0.75" bottom="0.75" header="0.3" footer="0.3"/>
  <pageSetup fitToHeight="1" fitToWidth="1" horizontalDpi="600" verticalDpi="600" orientation="portrait" paperSize="5" scale="83" r:id="rId2"/>
  <rowBreaks count="1" manualBreakCount="1">
    <brk id="74" max="255" man="1"/>
  </rowBreaks>
  <colBreaks count="2" manualBreakCount="2">
    <brk id="11" max="65535" man="1"/>
    <brk id="13" max="65535" man="1"/>
  </colBreaks>
  <legacyDrawing r:id="rId1"/>
</worksheet>
</file>

<file path=xl/worksheets/sheet2.xml><?xml version="1.0" encoding="utf-8"?>
<worksheet xmlns="http://schemas.openxmlformats.org/spreadsheetml/2006/main" xmlns:r="http://schemas.openxmlformats.org/officeDocument/2006/relationships">
  <sheetPr codeName="Sheet2">
    <tabColor rgb="FFFFFF00"/>
  </sheetPr>
  <dimension ref="A1:Z497"/>
  <sheetViews>
    <sheetView zoomScale="89" zoomScaleNormal="89" zoomScalePageLayoutView="0" workbookViewId="0" topLeftCell="A1">
      <selection activeCell="M4" sqref="M4"/>
    </sheetView>
  </sheetViews>
  <sheetFormatPr defaultColWidth="9.140625" defaultRowHeight="12.75"/>
  <cols>
    <col min="1" max="1" width="3.57421875" style="316" customWidth="1"/>
    <col min="2" max="2" width="59.140625" style="320" customWidth="1"/>
    <col min="3" max="3" width="13.8515625" style="318" bestFit="1" customWidth="1"/>
    <col min="4" max="4" width="12.421875" style="318" customWidth="1"/>
    <col min="5" max="6" width="11.7109375" style="318" customWidth="1"/>
    <col min="7" max="7" width="12.7109375" style="318" customWidth="1"/>
    <col min="8" max="8" width="14.57421875" style="318" customWidth="1"/>
    <col min="9" max="9" width="14.57421875" style="318" bestFit="1" customWidth="1"/>
    <col min="10" max="10" width="16.00390625" style="318" bestFit="1" customWidth="1"/>
    <col min="11" max="11" width="14.57421875" style="318" bestFit="1" customWidth="1"/>
    <col min="12" max="14" width="14.57421875" style="319" bestFit="1" customWidth="1"/>
    <col min="15" max="15" width="11.7109375" style="318" customWidth="1"/>
    <col min="16" max="16" width="3.7109375" style="288" customWidth="1"/>
    <col min="17" max="18" width="9.140625" style="288" customWidth="1"/>
    <col min="19" max="19" width="10.57421875" style="288" customWidth="1"/>
    <col min="20" max="16384" width="9.140625" style="288" customWidth="1"/>
  </cols>
  <sheetData>
    <row r="1" spans="1:26" ht="18">
      <c r="A1" s="322"/>
      <c r="B1" s="778" t="s">
        <v>197</v>
      </c>
      <c r="C1" s="779"/>
      <c r="D1" s="779"/>
      <c r="E1" s="779"/>
      <c r="F1" s="779"/>
      <c r="G1" s="779"/>
      <c r="H1" s="726"/>
      <c r="I1" s="726"/>
      <c r="J1" s="726"/>
      <c r="K1" s="326"/>
      <c r="L1" s="326"/>
      <c r="M1" s="326"/>
      <c r="N1" s="326"/>
      <c r="O1" s="327"/>
      <c r="P1" s="322"/>
      <c r="Z1" s="289"/>
    </row>
    <row r="2" spans="1:16" ht="12.75">
      <c r="A2" s="168"/>
      <c r="B2" s="603" t="s">
        <v>26</v>
      </c>
      <c r="C2" s="782">
        <f>IF(ISBLANK('Provider Information'!F6),"",+'Provider Information'!F6)</f>
      </c>
      <c r="D2" s="783"/>
      <c r="E2" s="783"/>
      <c r="F2" s="783"/>
      <c r="G2" s="784"/>
      <c r="H2" s="786" t="s">
        <v>389</v>
      </c>
      <c r="I2" s="787"/>
      <c r="J2" s="690" t="str">
        <f>+'Provider Information'!D21</f>
        <v>Area Agency on Aging of Deep East Texas</v>
      </c>
      <c r="K2" s="690"/>
      <c r="L2" s="690"/>
      <c r="M2" s="690"/>
      <c r="N2" s="690"/>
      <c r="O2" s="290"/>
      <c r="P2" s="322"/>
    </row>
    <row r="3" spans="1:16" ht="12.75">
      <c r="A3" s="169"/>
      <c r="B3" s="681">
        <f ca="1">NOW()</f>
        <v>44650.39911342593</v>
      </c>
      <c r="C3" s="291"/>
      <c r="D3" s="291"/>
      <c r="E3" s="291"/>
      <c r="F3" s="291"/>
      <c r="G3" s="291"/>
      <c r="H3" s="785" t="s">
        <v>390</v>
      </c>
      <c r="I3" s="785"/>
      <c r="J3" s="788" t="str">
        <f>+'Provider Information'!E26</f>
        <v>Region 5</v>
      </c>
      <c r="K3" s="788"/>
      <c r="L3" s="727"/>
      <c r="M3" s="727"/>
      <c r="N3" s="727"/>
      <c r="O3" s="89"/>
      <c r="P3" s="322"/>
    </row>
    <row r="4" spans="1:19" s="296" customFormat="1" ht="51">
      <c r="A4" s="170"/>
      <c r="B4" s="331" t="s">
        <v>137</v>
      </c>
      <c r="C4" s="292" t="s">
        <v>170</v>
      </c>
      <c r="D4" s="293" t="s">
        <v>122</v>
      </c>
      <c r="E4" s="287" t="s">
        <v>224</v>
      </c>
      <c r="F4" s="747" t="s">
        <v>424</v>
      </c>
      <c r="G4" s="287" t="s">
        <v>123</v>
      </c>
      <c r="H4" s="749" t="s">
        <v>440</v>
      </c>
      <c r="I4" s="294" t="s">
        <v>250</v>
      </c>
      <c r="J4" s="295" t="s">
        <v>199</v>
      </c>
      <c r="K4" s="294" t="s">
        <v>261</v>
      </c>
      <c r="L4" s="749" t="s">
        <v>462</v>
      </c>
      <c r="M4" s="294" t="s">
        <v>223</v>
      </c>
      <c r="N4" s="294" t="s">
        <v>223</v>
      </c>
      <c r="O4" s="287" t="s">
        <v>156</v>
      </c>
      <c r="P4" s="323"/>
      <c r="Q4" s="377"/>
      <c r="R4" s="688"/>
      <c r="S4" s="688"/>
    </row>
    <row r="5" spans="1:16" s="296" customFormat="1" ht="1.5" customHeight="1">
      <c r="A5" s="170"/>
      <c r="B5" s="332"/>
      <c r="C5" s="297"/>
      <c r="D5" s="298"/>
      <c r="E5" s="298"/>
      <c r="F5" s="298"/>
      <c r="G5" s="298"/>
      <c r="H5" s="299"/>
      <c r="I5" s="299"/>
      <c r="J5" s="300"/>
      <c r="K5" s="299"/>
      <c r="L5" s="299"/>
      <c r="M5" s="299"/>
      <c r="N5" s="299"/>
      <c r="O5" s="301"/>
      <c r="P5" s="323"/>
    </row>
    <row r="6" spans="1:16" s="304" customFormat="1" ht="12.75">
      <c r="A6" s="171"/>
      <c r="B6" s="780" t="s">
        <v>231</v>
      </c>
      <c r="C6" s="781"/>
      <c r="D6" s="781"/>
      <c r="E6" s="781"/>
      <c r="F6" s="781"/>
      <c r="G6" s="781"/>
      <c r="H6" s="781"/>
      <c r="I6" s="781"/>
      <c r="J6" s="781"/>
      <c r="K6" s="302"/>
      <c r="L6" s="302"/>
      <c r="M6" s="302"/>
      <c r="N6" s="302"/>
      <c r="O6" s="303"/>
      <c r="P6" s="324"/>
    </row>
    <row r="7" spans="1:16" s="88" customFormat="1" ht="12.75">
      <c r="A7" s="172"/>
      <c r="B7" s="333" t="s">
        <v>124</v>
      </c>
      <c r="C7" s="691"/>
      <c r="D7" s="691"/>
      <c r="E7" s="691"/>
      <c r="F7" s="691"/>
      <c r="G7" s="691"/>
      <c r="H7" s="691"/>
      <c r="I7" s="691"/>
      <c r="J7" s="691"/>
      <c r="K7" s="691"/>
      <c r="L7" s="691"/>
      <c r="M7" s="691"/>
      <c r="N7" s="691"/>
      <c r="O7" s="691"/>
      <c r="P7" s="325"/>
    </row>
    <row r="8" spans="1:16" s="88" customFormat="1" ht="12.75">
      <c r="A8" s="172"/>
      <c r="B8" s="334"/>
      <c r="C8" s="692"/>
      <c r="D8" s="692"/>
      <c r="E8" s="692"/>
      <c r="F8" s="692"/>
      <c r="G8" s="692"/>
      <c r="H8" s="692"/>
      <c r="I8" s="692"/>
      <c r="J8" s="692"/>
      <c r="K8" s="692"/>
      <c r="L8" s="692"/>
      <c r="M8" s="692"/>
      <c r="N8" s="692"/>
      <c r="O8" s="692">
        <f aca="true" t="shared" si="0" ref="O8:O16">+C8-(SUM(D8:N8))</f>
        <v>0</v>
      </c>
      <c r="P8" s="325"/>
    </row>
    <row r="9" spans="1:16" s="88" customFormat="1" ht="12.75">
      <c r="A9" s="172"/>
      <c r="B9" s="729"/>
      <c r="C9" s="692"/>
      <c r="D9" s="692"/>
      <c r="E9" s="692"/>
      <c r="F9" s="692"/>
      <c r="G9" s="692"/>
      <c r="H9" s="692"/>
      <c r="I9" s="692"/>
      <c r="J9" s="692"/>
      <c r="K9" s="692"/>
      <c r="L9" s="692"/>
      <c r="M9" s="692"/>
      <c r="N9" s="692"/>
      <c r="O9" s="692">
        <f t="shared" si="0"/>
        <v>0</v>
      </c>
      <c r="P9" s="325"/>
    </row>
    <row r="10" spans="1:16" s="88" customFormat="1" ht="12.75">
      <c r="A10" s="172"/>
      <c r="B10" s="729"/>
      <c r="C10" s="692"/>
      <c r="D10" s="692"/>
      <c r="E10" s="692"/>
      <c r="F10" s="692"/>
      <c r="G10" s="692"/>
      <c r="H10" s="692"/>
      <c r="I10" s="692"/>
      <c r="J10" s="692"/>
      <c r="K10" s="692"/>
      <c r="L10" s="692"/>
      <c r="M10" s="692"/>
      <c r="N10" s="692"/>
      <c r="O10" s="692">
        <f t="shared" si="0"/>
        <v>0</v>
      </c>
      <c r="P10" s="325"/>
    </row>
    <row r="11" spans="1:19" s="88" customFormat="1" ht="12.75">
      <c r="A11" s="172"/>
      <c r="B11" s="729"/>
      <c r="C11" s="692"/>
      <c r="D11" s="692"/>
      <c r="E11" s="692"/>
      <c r="F11" s="692"/>
      <c r="G11" s="692"/>
      <c r="H11" s="692"/>
      <c r="I11" s="692"/>
      <c r="J11" s="692"/>
      <c r="K11" s="692"/>
      <c r="L11" s="692"/>
      <c r="M11" s="692"/>
      <c r="N11" s="692"/>
      <c r="O11" s="692">
        <f t="shared" si="0"/>
        <v>0</v>
      </c>
      <c r="P11" s="325"/>
      <c r="R11" s="143"/>
      <c r="S11" s="143"/>
    </row>
    <row r="12" spans="1:16" s="88" customFormat="1" ht="12.75">
      <c r="A12" s="172"/>
      <c r="B12" s="729"/>
      <c r="C12" s="692"/>
      <c r="D12" s="692"/>
      <c r="E12" s="692"/>
      <c r="F12" s="692"/>
      <c r="G12" s="692"/>
      <c r="H12" s="692"/>
      <c r="I12" s="692"/>
      <c r="J12" s="692"/>
      <c r="K12" s="692"/>
      <c r="L12" s="692"/>
      <c r="M12" s="692"/>
      <c r="N12" s="692"/>
      <c r="O12" s="692">
        <f>+C12-(SUM(D12:N12))</f>
        <v>0</v>
      </c>
      <c r="P12" s="325"/>
    </row>
    <row r="13" spans="1:16" s="88" customFormat="1" ht="12.75">
      <c r="A13" s="172"/>
      <c r="B13" s="729"/>
      <c r="C13" s="692"/>
      <c r="D13" s="692"/>
      <c r="E13" s="692"/>
      <c r="F13" s="692"/>
      <c r="G13" s="692"/>
      <c r="H13" s="692"/>
      <c r="I13" s="692"/>
      <c r="J13" s="692"/>
      <c r="K13" s="692"/>
      <c r="L13" s="692"/>
      <c r="M13" s="692"/>
      <c r="N13" s="692"/>
      <c r="O13" s="692">
        <f t="shared" si="0"/>
        <v>0</v>
      </c>
      <c r="P13" s="325"/>
    </row>
    <row r="14" spans="1:16" s="88" customFormat="1" ht="12.75">
      <c r="A14" s="172"/>
      <c r="B14" s="334"/>
      <c r="C14" s="692"/>
      <c r="D14" s="692"/>
      <c r="E14" s="692"/>
      <c r="F14" s="692"/>
      <c r="G14" s="692"/>
      <c r="H14" s="692"/>
      <c r="I14" s="692"/>
      <c r="J14" s="692"/>
      <c r="K14" s="692"/>
      <c r="L14" s="692"/>
      <c r="M14" s="692"/>
      <c r="N14" s="692"/>
      <c r="O14" s="692">
        <f t="shared" si="0"/>
        <v>0</v>
      </c>
      <c r="P14" s="325"/>
    </row>
    <row r="15" spans="1:16" s="88" customFormat="1" ht="12.75">
      <c r="A15" s="172"/>
      <c r="B15" s="335"/>
      <c r="C15" s="691"/>
      <c r="D15" s="691"/>
      <c r="E15" s="691"/>
      <c r="F15" s="691"/>
      <c r="G15" s="691"/>
      <c r="H15" s="691"/>
      <c r="I15" s="691"/>
      <c r="J15" s="691"/>
      <c r="K15" s="691"/>
      <c r="L15" s="692"/>
      <c r="M15" s="692"/>
      <c r="N15" s="692"/>
      <c r="O15" s="691">
        <f t="shared" si="0"/>
        <v>0</v>
      </c>
      <c r="P15" s="325"/>
    </row>
    <row r="16" spans="1:16" s="88" customFormat="1" ht="12.75" hidden="1">
      <c r="A16" s="172"/>
      <c r="B16" s="335"/>
      <c r="C16" s="691"/>
      <c r="D16" s="691"/>
      <c r="E16" s="691"/>
      <c r="F16" s="691"/>
      <c r="G16" s="691"/>
      <c r="H16" s="691"/>
      <c r="I16" s="691"/>
      <c r="J16" s="691"/>
      <c r="K16" s="691"/>
      <c r="L16" s="692"/>
      <c r="M16" s="692"/>
      <c r="N16" s="692"/>
      <c r="O16" s="691">
        <f t="shared" si="0"/>
        <v>0</v>
      </c>
      <c r="P16" s="325"/>
    </row>
    <row r="17" spans="1:16" s="88" customFormat="1" ht="12.75">
      <c r="A17" s="172"/>
      <c r="B17" s="336" t="s">
        <v>141</v>
      </c>
      <c r="C17" s="693">
        <f aca="true" t="shared" si="1" ref="C17:O17">SUM(C7:C16)</f>
        <v>0</v>
      </c>
      <c r="D17" s="693">
        <f t="shared" si="1"/>
        <v>0</v>
      </c>
      <c r="E17" s="693">
        <f t="shared" si="1"/>
        <v>0</v>
      </c>
      <c r="F17" s="693">
        <f t="shared" si="1"/>
        <v>0</v>
      </c>
      <c r="G17" s="693">
        <f t="shared" si="1"/>
        <v>0</v>
      </c>
      <c r="H17" s="693">
        <f t="shared" si="1"/>
        <v>0</v>
      </c>
      <c r="I17" s="693">
        <f t="shared" si="1"/>
        <v>0</v>
      </c>
      <c r="J17" s="693">
        <f t="shared" si="1"/>
        <v>0</v>
      </c>
      <c r="K17" s="693">
        <f t="shared" si="1"/>
        <v>0</v>
      </c>
      <c r="L17" s="693">
        <f t="shared" si="1"/>
        <v>0</v>
      </c>
      <c r="M17" s="693">
        <f t="shared" si="1"/>
        <v>0</v>
      </c>
      <c r="N17" s="693">
        <f t="shared" si="1"/>
        <v>0</v>
      </c>
      <c r="O17" s="693">
        <f t="shared" si="1"/>
        <v>0</v>
      </c>
      <c r="P17" s="325"/>
    </row>
    <row r="18" spans="1:16" s="88" customFormat="1" ht="12.75">
      <c r="A18" s="172"/>
      <c r="B18" s="184" t="s">
        <v>142</v>
      </c>
      <c r="C18" s="691"/>
      <c r="D18" s="691"/>
      <c r="E18" s="691"/>
      <c r="F18" s="691"/>
      <c r="G18" s="691"/>
      <c r="H18" s="691"/>
      <c r="I18" s="691"/>
      <c r="J18" s="691"/>
      <c r="K18" s="691"/>
      <c r="L18" s="691"/>
      <c r="M18" s="691"/>
      <c r="N18" s="691"/>
      <c r="O18" s="691"/>
      <c r="P18" s="325"/>
    </row>
    <row r="19" spans="1:16" s="88" customFormat="1" ht="12.75">
      <c r="A19" s="172"/>
      <c r="B19" s="337" t="s">
        <v>143</v>
      </c>
      <c r="C19" s="692"/>
      <c r="D19" s="692"/>
      <c r="E19" s="692"/>
      <c r="F19" s="692"/>
      <c r="G19" s="692"/>
      <c r="H19" s="692"/>
      <c r="I19" s="692"/>
      <c r="J19" s="692"/>
      <c r="K19" s="692"/>
      <c r="L19" s="692"/>
      <c r="M19" s="692"/>
      <c r="N19" s="692"/>
      <c r="O19" s="692">
        <f aca="true" t="shared" si="2" ref="O19:O28">+C19-(SUM(D19:N19))</f>
        <v>0</v>
      </c>
      <c r="P19" s="325"/>
    </row>
    <row r="20" spans="1:16" s="88" customFormat="1" ht="12.75">
      <c r="A20" s="172"/>
      <c r="B20" s="337" t="s">
        <v>144</v>
      </c>
      <c r="C20" s="692"/>
      <c r="D20" s="692"/>
      <c r="E20" s="692"/>
      <c r="F20" s="692"/>
      <c r="G20" s="692"/>
      <c r="H20" s="692"/>
      <c r="I20" s="692"/>
      <c r="J20" s="692"/>
      <c r="K20" s="692"/>
      <c r="L20" s="692"/>
      <c r="M20" s="692"/>
      <c r="N20" s="692"/>
      <c r="O20" s="692">
        <f t="shared" si="2"/>
        <v>0</v>
      </c>
      <c r="P20" s="325"/>
    </row>
    <row r="21" spans="1:16" s="88" customFormat="1" ht="12.75">
      <c r="A21" s="172"/>
      <c r="B21" s="337" t="s">
        <v>145</v>
      </c>
      <c r="C21" s="692"/>
      <c r="D21" s="692"/>
      <c r="E21" s="692"/>
      <c r="F21" s="692"/>
      <c r="G21" s="692"/>
      <c r="H21" s="692"/>
      <c r="I21" s="692"/>
      <c r="J21" s="692"/>
      <c r="K21" s="692"/>
      <c r="L21" s="692"/>
      <c r="M21" s="692"/>
      <c r="N21" s="692"/>
      <c r="O21" s="692">
        <f t="shared" si="2"/>
        <v>0</v>
      </c>
      <c r="P21" s="325"/>
    </row>
    <row r="22" spans="1:16" s="88" customFormat="1" ht="12.75">
      <c r="A22" s="172"/>
      <c r="B22" s="337" t="s">
        <v>146</v>
      </c>
      <c r="C22" s="692"/>
      <c r="D22" s="692"/>
      <c r="E22" s="692"/>
      <c r="F22" s="692"/>
      <c r="G22" s="692"/>
      <c r="H22" s="692"/>
      <c r="I22" s="692"/>
      <c r="J22" s="692"/>
      <c r="K22" s="692"/>
      <c r="L22" s="692"/>
      <c r="M22" s="692"/>
      <c r="N22" s="692"/>
      <c r="O22" s="692">
        <f t="shared" si="2"/>
        <v>0</v>
      </c>
      <c r="P22" s="325"/>
    </row>
    <row r="23" spans="1:16" s="88" customFormat="1" ht="12.75">
      <c r="A23" s="172"/>
      <c r="B23" s="338" t="s">
        <v>147</v>
      </c>
      <c r="C23" s="692"/>
      <c r="D23" s="692"/>
      <c r="E23" s="692"/>
      <c r="F23" s="692"/>
      <c r="G23" s="692"/>
      <c r="H23" s="692"/>
      <c r="I23" s="692"/>
      <c r="J23" s="692"/>
      <c r="K23" s="692"/>
      <c r="L23" s="692"/>
      <c r="M23" s="692"/>
      <c r="N23" s="692"/>
      <c r="O23" s="692">
        <f t="shared" si="2"/>
        <v>0</v>
      </c>
      <c r="P23" s="325"/>
    </row>
    <row r="24" spans="1:16" s="88" customFormat="1" ht="12.75">
      <c r="A24" s="172"/>
      <c r="B24" s="338" t="s">
        <v>148</v>
      </c>
      <c r="C24" s="692"/>
      <c r="D24" s="692"/>
      <c r="E24" s="692"/>
      <c r="F24" s="692"/>
      <c r="G24" s="692"/>
      <c r="H24" s="692"/>
      <c r="I24" s="692"/>
      <c r="J24" s="692"/>
      <c r="K24" s="692"/>
      <c r="L24" s="692"/>
      <c r="M24" s="692"/>
      <c r="N24" s="692"/>
      <c r="O24" s="692">
        <f t="shared" si="2"/>
        <v>0</v>
      </c>
      <c r="P24" s="325"/>
    </row>
    <row r="25" spans="1:16" s="88" customFormat="1" ht="12.75">
      <c r="A25" s="172"/>
      <c r="B25" s="339"/>
      <c r="C25" s="692"/>
      <c r="D25" s="692"/>
      <c r="E25" s="692"/>
      <c r="F25" s="692"/>
      <c r="G25" s="692"/>
      <c r="H25" s="692"/>
      <c r="I25" s="692"/>
      <c r="J25" s="692"/>
      <c r="K25" s="692"/>
      <c r="L25" s="692"/>
      <c r="M25" s="692"/>
      <c r="N25" s="692"/>
      <c r="O25" s="692">
        <f t="shared" si="2"/>
        <v>0</v>
      </c>
      <c r="P25" s="325"/>
    </row>
    <row r="26" spans="1:16" s="88" customFormat="1" ht="12.75">
      <c r="A26" s="172"/>
      <c r="B26" s="340"/>
      <c r="C26" s="692"/>
      <c r="D26" s="692"/>
      <c r="E26" s="692"/>
      <c r="F26" s="692"/>
      <c r="G26" s="692"/>
      <c r="H26" s="692"/>
      <c r="I26" s="692"/>
      <c r="J26" s="692"/>
      <c r="K26" s="692"/>
      <c r="L26" s="692"/>
      <c r="M26" s="692"/>
      <c r="N26" s="692"/>
      <c r="O26" s="692">
        <f t="shared" si="2"/>
        <v>0</v>
      </c>
      <c r="P26" s="325"/>
    </row>
    <row r="27" spans="1:16" s="88" customFormat="1" ht="12.75">
      <c r="A27" s="172"/>
      <c r="B27" s="341"/>
      <c r="C27" s="691"/>
      <c r="D27" s="691"/>
      <c r="E27" s="691"/>
      <c r="F27" s="691"/>
      <c r="G27" s="691"/>
      <c r="H27" s="691"/>
      <c r="I27" s="691"/>
      <c r="J27" s="691"/>
      <c r="K27" s="691"/>
      <c r="L27" s="692"/>
      <c r="M27" s="692"/>
      <c r="N27" s="692"/>
      <c r="O27" s="691">
        <f t="shared" si="2"/>
        <v>0</v>
      </c>
      <c r="P27" s="325"/>
    </row>
    <row r="28" spans="1:16" s="88" customFormat="1" ht="12.75" hidden="1">
      <c r="A28" s="172"/>
      <c r="B28" s="341"/>
      <c r="C28" s="691"/>
      <c r="D28" s="691"/>
      <c r="E28" s="691"/>
      <c r="F28" s="691"/>
      <c r="G28" s="691"/>
      <c r="H28" s="691"/>
      <c r="I28" s="691"/>
      <c r="J28" s="691"/>
      <c r="K28" s="691"/>
      <c r="L28" s="692"/>
      <c r="M28" s="692"/>
      <c r="N28" s="692"/>
      <c r="O28" s="691">
        <f t="shared" si="2"/>
        <v>0</v>
      </c>
      <c r="P28" s="325"/>
    </row>
    <row r="29" spans="1:16" s="88" customFormat="1" ht="12.75">
      <c r="A29" s="172"/>
      <c r="B29" s="336" t="s">
        <v>149</v>
      </c>
      <c r="C29" s="693">
        <f aca="true" t="shared" si="3" ref="C29:O29">SUM(C18:C28)</f>
        <v>0</v>
      </c>
      <c r="D29" s="693">
        <f t="shared" si="3"/>
        <v>0</v>
      </c>
      <c r="E29" s="693">
        <f t="shared" si="3"/>
        <v>0</v>
      </c>
      <c r="F29" s="693">
        <f t="shared" si="3"/>
        <v>0</v>
      </c>
      <c r="G29" s="693">
        <f t="shared" si="3"/>
        <v>0</v>
      </c>
      <c r="H29" s="693">
        <f t="shared" si="3"/>
        <v>0</v>
      </c>
      <c r="I29" s="693">
        <f t="shared" si="3"/>
        <v>0</v>
      </c>
      <c r="J29" s="693">
        <f t="shared" si="3"/>
        <v>0</v>
      </c>
      <c r="K29" s="693">
        <f t="shared" si="3"/>
        <v>0</v>
      </c>
      <c r="L29" s="693">
        <f t="shared" si="3"/>
        <v>0</v>
      </c>
      <c r="M29" s="693">
        <f t="shared" si="3"/>
        <v>0</v>
      </c>
      <c r="N29" s="693">
        <f t="shared" si="3"/>
        <v>0</v>
      </c>
      <c r="O29" s="693">
        <f t="shared" si="3"/>
        <v>0</v>
      </c>
      <c r="P29" s="325"/>
    </row>
    <row r="30" spans="1:16" s="88" customFormat="1" ht="12.75">
      <c r="A30" s="172"/>
      <c r="B30" s="342" t="s">
        <v>125</v>
      </c>
      <c r="C30" s="691"/>
      <c r="D30" s="691"/>
      <c r="E30" s="691"/>
      <c r="F30" s="691"/>
      <c r="G30" s="691"/>
      <c r="H30" s="691"/>
      <c r="I30" s="691"/>
      <c r="J30" s="691"/>
      <c r="K30" s="691"/>
      <c r="L30" s="691"/>
      <c r="M30" s="691"/>
      <c r="N30" s="691"/>
      <c r="O30" s="691"/>
      <c r="P30" s="325"/>
    </row>
    <row r="31" spans="1:16" s="88" customFormat="1" ht="12.75">
      <c r="A31" s="172"/>
      <c r="B31" s="343"/>
      <c r="C31" s="692"/>
      <c r="D31" s="692"/>
      <c r="E31" s="692"/>
      <c r="F31" s="692"/>
      <c r="G31" s="692"/>
      <c r="H31" s="692"/>
      <c r="I31" s="692"/>
      <c r="J31" s="692"/>
      <c r="K31" s="692"/>
      <c r="L31" s="692"/>
      <c r="M31" s="692"/>
      <c r="N31" s="692"/>
      <c r="O31" s="692">
        <f>+C31-(SUM(D31:N31))</f>
        <v>0</v>
      </c>
      <c r="P31" s="325"/>
    </row>
    <row r="32" spans="1:16" s="88" customFormat="1" ht="12.75">
      <c r="A32" s="172"/>
      <c r="B32" s="343"/>
      <c r="C32" s="692"/>
      <c r="D32" s="692"/>
      <c r="E32" s="692"/>
      <c r="F32" s="692"/>
      <c r="G32" s="692"/>
      <c r="H32" s="692"/>
      <c r="I32" s="692"/>
      <c r="J32" s="692"/>
      <c r="K32" s="692"/>
      <c r="L32" s="692"/>
      <c r="M32" s="692"/>
      <c r="N32" s="692"/>
      <c r="O32" s="692">
        <f>+C32-(SUM(D32:N32))</f>
        <v>0</v>
      </c>
      <c r="P32" s="325"/>
    </row>
    <row r="33" spans="1:16" s="88" customFormat="1" ht="12.75">
      <c r="A33" s="172"/>
      <c r="B33" s="343"/>
      <c r="C33" s="692"/>
      <c r="D33" s="692"/>
      <c r="E33" s="692"/>
      <c r="F33" s="692"/>
      <c r="G33" s="692"/>
      <c r="H33" s="692"/>
      <c r="I33" s="692"/>
      <c r="J33" s="692"/>
      <c r="K33" s="692"/>
      <c r="L33" s="692"/>
      <c r="M33" s="692"/>
      <c r="N33" s="692"/>
      <c r="O33" s="692">
        <f>+C33-(SUM(D33:N33))</f>
        <v>0</v>
      </c>
      <c r="P33" s="325"/>
    </row>
    <row r="34" spans="1:16" s="88" customFormat="1" ht="12.75">
      <c r="A34" s="172"/>
      <c r="B34" s="344"/>
      <c r="C34" s="691"/>
      <c r="D34" s="691"/>
      <c r="E34" s="691"/>
      <c r="F34" s="691"/>
      <c r="G34" s="691"/>
      <c r="H34" s="691"/>
      <c r="I34" s="691"/>
      <c r="J34" s="691"/>
      <c r="K34" s="691"/>
      <c r="L34" s="692"/>
      <c r="M34" s="692"/>
      <c r="N34" s="692"/>
      <c r="O34" s="691">
        <f>+C34-(SUM(D34:N34))</f>
        <v>0</v>
      </c>
      <c r="P34" s="325"/>
    </row>
    <row r="35" spans="1:16" s="88" customFormat="1" ht="12.75" hidden="1">
      <c r="A35" s="173"/>
      <c r="B35" s="345"/>
      <c r="C35" s="694"/>
      <c r="D35" s="694"/>
      <c r="E35" s="694"/>
      <c r="F35" s="694"/>
      <c r="G35" s="694"/>
      <c r="H35" s="694"/>
      <c r="I35" s="694"/>
      <c r="J35" s="694"/>
      <c r="K35" s="694"/>
      <c r="L35" s="695"/>
      <c r="M35" s="695"/>
      <c r="N35" s="695"/>
      <c r="O35" s="694">
        <f>+C35-(SUM(D35:N35))</f>
        <v>0</v>
      </c>
      <c r="P35" s="325"/>
    </row>
    <row r="36" spans="1:16" s="88" customFormat="1" ht="12.75">
      <c r="A36" s="172"/>
      <c r="B36" s="336" t="s">
        <v>150</v>
      </c>
      <c r="C36" s="693">
        <f aca="true" t="shared" si="4" ref="C36:K36">SUM(C30:C35)</f>
        <v>0</v>
      </c>
      <c r="D36" s="693">
        <f t="shared" si="4"/>
        <v>0</v>
      </c>
      <c r="E36" s="693">
        <f t="shared" si="4"/>
        <v>0</v>
      </c>
      <c r="F36" s="693">
        <f t="shared" si="4"/>
        <v>0</v>
      </c>
      <c r="G36" s="693">
        <f t="shared" si="4"/>
        <v>0</v>
      </c>
      <c r="H36" s="693">
        <f t="shared" si="4"/>
        <v>0</v>
      </c>
      <c r="I36" s="693">
        <f>SUM(I30:I35)</f>
        <v>0</v>
      </c>
      <c r="J36" s="693">
        <f t="shared" si="4"/>
        <v>0</v>
      </c>
      <c r="K36" s="693">
        <f t="shared" si="4"/>
        <v>0</v>
      </c>
      <c r="L36" s="693">
        <f>SUM(L30:L35)</f>
        <v>0</v>
      </c>
      <c r="M36" s="693">
        <f>SUM(M30:M35)</f>
        <v>0</v>
      </c>
      <c r="N36" s="693">
        <f>SUM(N30:N35)</f>
        <v>0</v>
      </c>
      <c r="O36" s="693">
        <f>SUM(O30:O35)</f>
        <v>0</v>
      </c>
      <c r="P36" s="325"/>
    </row>
    <row r="37" spans="1:16" s="88" customFormat="1" ht="12.75">
      <c r="A37" s="172"/>
      <c r="B37" s="346" t="s">
        <v>151</v>
      </c>
      <c r="C37" s="693">
        <f aca="true" t="shared" si="5" ref="C37:N37">+C17+C29+C36</f>
        <v>0</v>
      </c>
      <c r="D37" s="693">
        <f t="shared" si="5"/>
        <v>0</v>
      </c>
      <c r="E37" s="693">
        <f t="shared" si="5"/>
        <v>0</v>
      </c>
      <c r="F37" s="693">
        <f t="shared" si="5"/>
        <v>0</v>
      </c>
      <c r="G37" s="693">
        <f t="shared" si="5"/>
        <v>0</v>
      </c>
      <c r="H37" s="693">
        <f t="shared" si="5"/>
        <v>0</v>
      </c>
      <c r="I37" s="693">
        <f t="shared" si="5"/>
        <v>0</v>
      </c>
      <c r="J37" s="693">
        <f t="shared" si="5"/>
        <v>0</v>
      </c>
      <c r="K37" s="693">
        <f t="shared" si="5"/>
        <v>0</v>
      </c>
      <c r="L37" s="693">
        <f t="shared" si="5"/>
        <v>0</v>
      </c>
      <c r="M37" s="693">
        <f t="shared" si="5"/>
        <v>0</v>
      </c>
      <c r="N37" s="693">
        <f t="shared" si="5"/>
        <v>0</v>
      </c>
      <c r="O37" s="693">
        <f>+C37-(SUM(D37:N37))</f>
        <v>0</v>
      </c>
      <c r="P37" s="325"/>
    </row>
    <row r="38" spans="1:16" s="88" customFormat="1" ht="12.75">
      <c r="A38" s="174"/>
      <c r="B38" s="780" t="s">
        <v>232</v>
      </c>
      <c r="C38" s="781"/>
      <c r="D38" s="781"/>
      <c r="E38" s="781"/>
      <c r="F38" s="781"/>
      <c r="G38" s="781"/>
      <c r="H38" s="781"/>
      <c r="I38" s="781"/>
      <c r="J38" s="781"/>
      <c r="K38" s="302"/>
      <c r="L38" s="302"/>
      <c r="M38" s="302"/>
      <c r="N38" s="302"/>
      <c r="O38" s="303"/>
      <c r="P38" s="325"/>
    </row>
    <row r="39" spans="1:16" s="88" customFormat="1" ht="12.75">
      <c r="A39" s="172"/>
      <c r="B39" s="333" t="s">
        <v>126</v>
      </c>
      <c r="C39" s="87"/>
      <c r="D39" s="87"/>
      <c r="E39" s="87"/>
      <c r="F39" s="87"/>
      <c r="G39" s="87"/>
      <c r="H39" s="87"/>
      <c r="I39" s="87"/>
      <c r="J39" s="87"/>
      <c r="K39" s="87"/>
      <c r="L39" s="87"/>
      <c r="M39" s="87"/>
      <c r="N39" s="87"/>
      <c r="O39" s="87"/>
      <c r="P39" s="325"/>
    </row>
    <row r="40" spans="1:16" s="88" customFormat="1" ht="12.75">
      <c r="A40" s="172"/>
      <c r="B40" s="334"/>
      <c r="C40" s="692"/>
      <c r="D40" s="692"/>
      <c r="E40" s="692"/>
      <c r="F40" s="692"/>
      <c r="G40" s="692"/>
      <c r="H40" s="692"/>
      <c r="I40" s="692"/>
      <c r="J40" s="692"/>
      <c r="K40" s="692"/>
      <c r="L40" s="692"/>
      <c r="M40" s="692"/>
      <c r="N40" s="692"/>
      <c r="O40" s="692">
        <f>+C40-(SUM(D40:N40))</f>
        <v>0</v>
      </c>
      <c r="P40" s="325"/>
    </row>
    <row r="41" spans="1:16" s="88" customFormat="1" ht="12.75">
      <c r="A41" s="172"/>
      <c r="B41" s="340"/>
      <c r="C41" s="692"/>
      <c r="D41" s="692"/>
      <c r="E41" s="692"/>
      <c r="F41" s="692"/>
      <c r="G41" s="692"/>
      <c r="H41" s="692"/>
      <c r="I41" s="692"/>
      <c r="J41" s="692"/>
      <c r="K41" s="692"/>
      <c r="L41" s="692"/>
      <c r="M41" s="692"/>
      <c r="N41" s="692"/>
      <c r="O41" s="692">
        <f>+C41-(SUM(D41:N41))</f>
        <v>0</v>
      </c>
      <c r="P41" s="325"/>
    </row>
    <row r="42" spans="1:16" s="88" customFormat="1" ht="12.75" hidden="1">
      <c r="A42" s="172"/>
      <c r="B42" s="335"/>
      <c r="C42" s="691"/>
      <c r="D42" s="691"/>
      <c r="E42" s="691"/>
      <c r="F42" s="691"/>
      <c r="G42" s="691"/>
      <c r="H42" s="691"/>
      <c r="I42" s="691"/>
      <c r="J42" s="691"/>
      <c r="K42" s="691"/>
      <c r="L42" s="692"/>
      <c r="M42" s="692"/>
      <c r="N42" s="692"/>
      <c r="O42" s="691"/>
      <c r="P42" s="325"/>
    </row>
    <row r="43" spans="1:16" s="88" customFormat="1" ht="12.75">
      <c r="A43" s="172"/>
      <c r="B43" s="336" t="s">
        <v>227</v>
      </c>
      <c r="C43" s="693">
        <f aca="true" t="shared" si="6" ref="C43:O43">SUM(C39:C42)</f>
        <v>0</v>
      </c>
      <c r="D43" s="693">
        <f t="shared" si="6"/>
        <v>0</v>
      </c>
      <c r="E43" s="693">
        <f t="shared" si="6"/>
        <v>0</v>
      </c>
      <c r="F43" s="693">
        <f t="shared" si="6"/>
        <v>0</v>
      </c>
      <c r="G43" s="693">
        <f t="shared" si="6"/>
        <v>0</v>
      </c>
      <c r="H43" s="693">
        <f t="shared" si="6"/>
        <v>0</v>
      </c>
      <c r="I43" s="693">
        <f>SUM(I39:I42)</f>
        <v>0</v>
      </c>
      <c r="J43" s="693">
        <f t="shared" si="6"/>
        <v>0</v>
      </c>
      <c r="K43" s="693">
        <f t="shared" si="6"/>
        <v>0</v>
      </c>
      <c r="L43" s="693">
        <f>SUM(L39:L42)</f>
        <v>0</v>
      </c>
      <c r="M43" s="693">
        <f>SUM(M39:M42)</f>
        <v>0</v>
      </c>
      <c r="N43" s="693">
        <f t="shared" si="6"/>
        <v>0</v>
      </c>
      <c r="O43" s="693">
        <f t="shared" si="6"/>
        <v>0</v>
      </c>
      <c r="P43" s="325"/>
    </row>
    <row r="44" spans="1:16" s="88" customFormat="1" ht="12.75">
      <c r="A44" s="173"/>
      <c r="B44" s="184" t="s">
        <v>127</v>
      </c>
      <c r="C44" s="691"/>
      <c r="D44" s="691"/>
      <c r="E44" s="691"/>
      <c r="F44" s="691"/>
      <c r="G44" s="691"/>
      <c r="H44" s="691"/>
      <c r="I44" s="691"/>
      <c r="J44" s="691"/>
      <c r="K44" s="691"/>
      <c r="L44" s="691"/>
      <c r="M44" s="691"/>
      <c r="N44" s="691"/>
      <c r="O44" s="691"/>
      <c r="P44" s="325"/>
    </row>
    <row r="45" spans="1:16" s="88" customFormat="1" ht="12.75">
      <c r="A45" s="173"/>
      <c r="B45" s="347"/>
      <c r="C45" s="692"/>
      <c r="D45" s="692"/>
      <c r="E45" s="696"/>
      <c r="F45" s="696"/>
      <c r="G45" s="692"/>
      <c r="H45" s="692"/>
      <c r="I45" s="692"/>
      <c r="J45" s="692"/>
      <c r="K45" s="692"/>
      <c r="L45" s="692"/>
      <c r="M45" s="692"/>
      <c r="N45" s="692"/>
      <c r="O45" s="692">
        <f>+C45-(SUM(D45:N45))</f>
        <v>0</v>
      </c>
      <c r="P45" s="325"/>
    </row>
    <row r="46" spans="1:16" s="88" customFormat="1" ht="12.75">
      <c r="A46" s="173"/>
      <c r="B46" s="347"/>
      <c r="C46" s="692"/>
      <c r="D46" s="692"/>
      <c r="E46" s="696"/>
      <c r="F46" s="696"/>
      <c r="G46" s="692"/>
      <c r="H46" s="692"/>
      <c r="I46" s="692"/>
      <c r="J46" s="692"/>
      <c r="K46" s="692"/>
      <c r="L46" s="692"/>
      <c r="M46" s="697"/>
      <c r="N46" s="697"/>
      <c r="O46" s="692">
        <f>+C46-(SUM(D46:N46))</f>
        <v>0</v>
      </c>
      <c r="P46" s="325"/>
    </row>
    <row r="47" spans="1:16" s="88" customFormat="1" ht="12.75" hidden="1">
      <c r="A47" s="173"/>
      <c r="B47" s="241"/>
      <c r="C47" s="691"/>
      <c r="D47" s="691"/>
      <c r="E47" s="691"/>
      <c r="F47" s="691"/>
      <c r="G47" s="691"/>
      <c r="H47" s="691"/>
      <c r="I47" s="691"/>
      <c r="J47" s="691"/>
      <c r="K47" s="691"/>
      <c r="L47" s="692"/>
      <c r="M47" s="692"/>
      <c r="N47" s="692"/>
      <c r="O47" s="692">
        <f>+C47-(SUM(D47:N47))</f>
        <v>0</v>
      </c>
      <c r="P47" s="325"/>
    </row>
    <row r="48" spans="1:16" s="88" customFormat="1" ht="12.75">
      <c r="A48" s="172"/>
      <c r="B48" s="336" t="s">
        <v>152</v>
      </c>
      <c r="C48" s="693">
        <f aca="true" t="shared" si="7" ref="C48:N48">SUM(C44:C47)</f>
        <v>0</v>
      </c>
      <c r="D48" s="693">
        <f t="shared" si="7"/>
        <v>0</v>
      </c>
      <c r="E48" s="693">
        <f t="shared" si="7"/>
        <v>0</v>
      </c>
      <c r="F48" s="693">
        <f t="shared" si="7"/>
        <v>0</v>
      </c>
      <c r="G48" s="693">
        <f t="shared" si="7"/>
        <v>0</v>
      </c>
      <c r="H48" s="693">
        <f t="shared" si="7"/>
        <v>0</v>
      </c>
      <c r="I48" s="693">
        <f>SUM(I44:I47)</f>
        <v>0</v>
      </c>
      <c r="J48" s="693">
        <f t="shared" si="7"/>
        <v>0</v>
      </c>
      <c r="K48" s="693">
        <f t="shared" si="7"/>
        <v>0</v>
      </c>
      <c r="L48" s="693">
        <f>SUM(L44:L47)</f>
        <v>0</v>
      </c>
      <c r="M48" s="693">
        <f>SUM(M44:M47)</f>
        <v>0</v>
      </c>
      <c r="N48" s="693">
        <f t="shared" si="7"/>
        <v>0</v>
      </c>
      <c r="O48" s="693">
        <f>+C48-(SUM(D48:N48))</f>
        <v>0</v>
      </c>
      <c r="P48" s="325"/>
    </row>
    <row r="49" spans="1:16" s="88" customFormat="1" ht="12.75">
      <c r="A49" s="173"/>
      <c r="B49" s="184" t="s">
        <v>128</v>
      </c>
      <c r="C49" s="691"/>
      <c r="D49" s="691"/>
      <c r="E49" s="691"/>
      <c r="F49" s="691"/>
      <c r="G49" s="691"/>
      <c r="H49" s="691"/>
      <c r="I49" s="691"/>
      <c r="J49" s="691"/>
      <c r="K49" s="691"/>
      <c r="L49" s="691"/>
      <c r="M49" s="691"/>
      <c r="N49" s="691"/>
      <c r="O49" s="691"/>
      <c r="P49" s="325"/>
    </row>
    <row r="50" spans="1:16" s="88" customFormat="1" ht="12.75">
      <c r="A50" s="173"/>
      <c r="B50" s="348"/>
      <c r="C50" s="692"/>
      <c r="D50" s="692"/>
      <c r="E50" s="692"/>
      <c r="F50" s="692"/>
      <c r="G50" s="692"/>
      <c r="H50" s="692"/>
      <c r="I50" s="692"/>
      <c r="J50" s="692"/>
      <c r="K50" s="692"/>
      <c r="L50" s="692"/>
      <c r="M50" s="692"/>
      <c r="N50" s="692"/>
      <c r="O50" s="692">
        <f>+C50-(SUM(D50:N50))</f>
        <v>0</v>
      </c>
      <c r="P50" s="325"/>
    </row>
    <row r="51" spans="1:16" s="88" customFormat="1" ht="12.75">
      <c r="A51" s="173"/>
      <c r="B51" s="348"/>
      <c r="C51" s="692"/>
      <c r="D51" s="692"/>
      <c r="E51" s="692"/>
      <c r="F51" s="692"/>
      <c r="G51" s="692"/>
      <c r="H51" s="692"/>
      <c r="I51" s="692"/>
      <c r="J51" s="692"/>
      <c r="K51" s="692"/>
      <c r="L51" s="692"/>
      <c r="M51" s="692"/>
      <c r="N51" s="692"/>
      <c r="O51" s="692">
        <f>+C51-(SUM(D51:N51))</f>
        <v>0</v>
      </c>
      <c r="P51" s="325"/>
    </row>
    <row r="52" spans="1:16" s="88" customFormat="1" ht="12.75" hidden="1">
      <c r="A52" s="173"/>
      <c r="B52" s="349"/>
      <c r="C52" s="692"/>
      <c r="D52" s="692"/>
      <c r="E52" s="692"/>
      <c r="F52" s="692"/>
      <c r="G52" s="692"/>
      <c r="H52" s="692"/>
      <c r="I52" s="692"/>
      <c r="J52" s="692"/>
      <c r="K52" s="692"/>
      <c r="L52" s="692"/>
      <c r="M52" s="692"/>
      <c r="N52" s="692"/>
      <c r="O52" s="692">
        <f>+C52-(SUM(D52:N52))</f>
        <v>0</v>
      </c>
      <c r="P52" s="325"/>
    </row>
    <row r="53" spans="1:16" s="88" customFormat="1" ht="12.75">
      <c r="A53" s="172"/>
      <c r="B53" s="336" t="s">
        <v>153</v>
      </c>
      <c r="C53" s="693">
        <f aca="true" t="shared" si="8" ref="C53:J53">SUM(C49:C52)</f>
        <v>0</v>
      </c>
      <c r="D53" s="693">
        <f t="shared" si="8"/>
        <v>0</v>
      </c>
      <c r="E53" s="693">
        <f t="shared" si="8"/>
        <v>0</v>
      </c>
      <c r="F53" s="693">
        <f t="shared" si="8"/>
        <v>0</v>
      </c>
      <c r="G53" s="693">
        <f t="shared" si="8"/>
        <v>0</v>
      </c>
      <c r="H53" s="693">
        <f>SUM(H49:H52)</f>
        <v>0</v>
      </c>
      <c r="I53" s="693">
        <f>SUM(I49:I52)</f>
        <v>0</v>
      </c>
      <c r="J53" s="693">
        <f t="shared" si="8"/>
        <v>0</v>
      </c>
      <c r="K53" s="693">
        <f>SUM(K49:K52)</f>
        <v>0</v>
      </c>
      <c r="L53" s="693">
        <f>SUM(L49:L52)</f>
        <v>0</v>
      </c>
      <c r="M53" s="693">
        <f>SUM(M49:M52)</f>
        <v>0</v>
      </c>
      <c r="N53" s="693">
        <f>SUM(N49:N52)</f>
        <v>0</v>
      </c>
      <c r="O53" s="693">
        <f>+C53-(SUM(D53:N53))</f>
        <v>0</v>
      </c>
      <c r="P53" s="325"/>
    </row>
    <row r="54" spans="1:16" s="88" customFormat="1" ht="12.75">
      <c r="A54" s="173"/>
      <c r="B54" s="350" t="s">
        <v>154</v>
      </c>
      <c r="C54" s="694">
        <f aca="true" t="shared" si="9" ref="C54:N54">SUM(C53,C48,C43)</f>
        <v>0</v>
      </c>
      <c r="D54" s="694">
        <f t="shared" si="9"/>
        <v>0</v>
      </c>
      <c r="E54" s="694">
        <f t="shared" si="9"/>
        <v>0</v>
      </c>
      <c r="F54" s="694">
        <f t="shared" si="9"/>
        <v>0</v>
      </c>
      <c r="G54" s="694">
        <f t="shared" si="9"/>
        <v>0</v>
      </c>
      <c r="H54" s="694">
        <f t="shared" si="9"/>
        <v>0</v>
      </c>
      <c r="I54" s="694">
        <f>SUM(I53,I48,I43)</f>
        <v>0</v>
      </c>
      <c r="J54" s="694">
        <f t="shared" si="9"/>
        <v>0</v>
      </c>
      <c r="K54" s="694">
        <f t="shared" si="9"/>
        <v>0</v>
      </c>
      <c r="L54" s="694">
        <f>SUM(L53,L48,L43)</f>
        <v>0</v>
      </c>
      <c r="M54" s="694">
        <f>SUM(M53,M48,M43)</f>
        <v>0</v>
      </c>
      <c r="N54" s="694">
        <f t="shared" si="9"/>
        <v>0</v>
      </c>
      <c r="O54" s="694">
        <f>+C54-(SUM(D54:N54))</f>
        <v>0</v>
      </c>
      <c r="P54" s="325"/>
    </row>
    <row r="55" spans="1:16" s="88" customFormat="1" ht="12.75">
      <c r="A55" s="174"/>
      <c r="B55" s="780" t="s">
        <v>233</v>
      </c>
      <c r="C55" s="781"/>
      <c r="D55" s="781"/>
      <c r="E55" s="781"/>
      <c r="F55" s="781"/>
      <c r="G55" s="781"/>
      <c r="H55" s="781"/>
      <c r="I55" s="781"/>
      <c r="J55" s="781"/>
      <c r="K55" s="302"/>
      <c r="L55" s="302"/>
      <c r="M55" s="302"/>
      <c r="N55" s="302"/>
      <c r="O55" s="303"/>
      <c r="P55" s="325"/>
    </row>
    <row r="56" spans="1:16" s="88" customFormat="1" ht="12.75">
      <c r="A56" s="172"/>
      <c r="B56" s="333" t="s">
        <v>20</v>
      </c>
      <c r="C56" s="691"/>
      <c r="D56" s="691"/>
      <c r="E56" s="691"/>
      <c r="F56" s="691"/>
      <c r="G56" s="691"/>
      <c r="H56" s="691"/>
      <c r="I56" s="691"/>
      <c r="J56" s="691"/>
      <c r="K56" s="691"/>
      <c r="L56" s="691"/>
      <c r="M56" s="691"/>
      <c r="N56" s="691"/>
      <c r="O56" s="691"/>
      <c r="P56" s="325"/>
    </row>
    <row r="57" spans="1:16" s="88" customFormat="1" ht="12.75">
      <c r="A57" s="172"/>
      <c r="B57" s="334"/>
      <c r="C57" s="692"/>
      <c r="D57" s="692"/>
      <c r="E57" s="696"/>
      <c r="F57" s="696"/>
      <c r="G57" s="692"/>
      <c r="H57" s="692"/>
      <c r="I57" s="692"/>
      <c r="J57" s="692"/>
      <c r="K57" s="692"/>
      <c r="L57" s="692"/>
      <c r="M57" s="692"/>
      <c r="N57" s="692"/>
      <c r="O57" s="692">
        <f>+C57-(SUM(D57:N57))</f>
        <v>0</v>
      </c>
      <c r="P57" s="325"/>
    </row>
    <row r="58" spans="1:16" s="88" customFormat="1" ht="12.75">
      <c r="A58" s="172"/>
      <c r="B58" s="351"/>
      <c r="C58" s="692"/>
      <c r="D58" s="692"/>
      <c r="E58" s="696"/>
      <c r="F58" s="696"/>
      <c r="G58" s="692"/>
      <c r="H58" s="692"/>
      <c r="I58" s="692"/>
      <c r="J58" s="692"/>
      <c r="K58" s="692"/>
      <c r="L58" s="692"/>
      <c r="M58" s="692"/>
      <c r="N58" s="692"/>
      <c r="O58" s="692">
        <f>+C58-(SUM(D58:N58))</f>
        <v>0</v>
      </c>
      <c r="P58" s="325"/>
    </row>
    <row r="59" spans="1:16" s="88" customFormat="1" ht="12.75">
      <c r="A59" s="172"/>
      <c r="B59" s="351"/>
      <c r="C59" s="692"/>
      <c r="D59" s="692"/>
      <c r="E59" s="696"/>
      <c r="F59" s="696"/>
      <c r="G59" s="692"/>
      <c r="H59" s="692"/>
      <c r="I59" s="692"/>
      <c r="J59" s="692"/>
      <c r="K59" s="692"/>
      <c r="L59" s="692"/>
      <c r="M59" s="692"/>
      <c r="N59" s="692"/>
      <c r="O59" s="692">
        <f>+C59-(SUM(D59:N59))</f>
        <v>0</v>
      </c>
      <c r="P59" s="325"/>
    </row>
    <row r="60" spans="1:16" s="88" customFormat="1" ht="12.75" hidden="1">
      <c r="A60" s="172"/>
      <c r="B60" s="333"/>
      <c r="C60" s="691"/>
      <c r="D60" s="691"/>
      <c r="E60" s="691"/>
      <c r="F60" s="691"/>
      <c r="G60" s="691"/>
      <c r="H60" s="691"/>
      <c r="I60" s="691"/>
      <c r="J60" s="691"/>
      <c r="K60" s="691"/>
      <c r="L60" s="692"/>
      <c r="M60" s="692"/>
      <c r="N60" s="692"/>
      <c r="O60" s="691">
        <f>+C60-(SUM(D60:N60))</f>
        <v>0</v>
      </c>
      <c r="P60" s="325"/>
    </row>
    <row r="61" spans="1:16" s="88" customFormat="1" ht="12.75">
      <c r="A61" s="172"/>
      <c r="B61" s="336" t="s">
        <v>174</v>
      </c>
      <c r="C61" s="693">
        <f aca="true" t="shared" si="10" ref="C61:J61">SUM(C56:C60)</f>
        <v>0</v>
      </c>
      <c r="D61" s="693">
        <f t="shared" si="10"/>
        <v>0</v>
      </c>
      <c r="E61" s="693">
        <f t="shared" si="10"/>
        <v>0</v>
      </c>
      <c r="F61" s="693">
        <f t="shared" si="10"/>
        <v>0</v>
      </c>
      <c r="G61" s="693">
        <f t="shared" si="10"/>
        <v>0</v>
      </c>
      <c r="H61" s="693">
        <f>SUM(H56:H60)</f>
        <v>0</v>
      </c>
      <c r="I61" s="693">
        <f>SUM(I56:I60)</f>
        <v>0</v>
      </c>
      <c r="J61" s="693">
        <f t="shared" si="10"/>
        <v>0</v>
      </c>
      <c r="K61" s="693">
        <f>SUM(K56:K60)</f>
        <v>0</v>
      </c>
      <c r="L61" s="693">
        <f>SUM(L56:L60)</f>
        <v>0</v>
      </c>
      <c r="M61" s="693">
        <f>SUM(M56:M60)</f>
        <v>0</v>
      </c>
      <c r="N61" s="693">
        <f>SUM(N56:N60)</f>
        <v>0</v>
      </c>
      <c r="O61" s="693">
        <f>+C61-(SUM(D61:N61))</f>
        <v>0</v>
      </c>
      <c r="P61" s="325"/>
    </row>
    <row r="62" spans="1:16" s="88" customFormat="1" ht="12.75">
      <c r="A62" s="173"/>
      <c r="B62" s="333" t="s">
        <v>244</v>
      </c>
      <c r="C62" s="691"/>
      <c r="D62" s="691"/>
      <c r="E62" s="691"/>
      <c r="F62" s="691"/>
      <c r="G62" s="691"/>
      <c r="H62" s="691"/>
      <c r="I62" s="691"/>
      <c r="J62" s="691"/>
      <c r="K62" s="691"/>
      <c r="L62" s="691"/>
      <c r="M62" s="691"/>
      <c r="N62" s="691"/>
      <c r="O62" s="691"/>
      <c r="P62" s="325"/>
    </row>
    <row r="63" spans="1:16" s="88" customFormat="1" ht="12.75">
      <c r="A63" s="173"/>
      <c r="B63" s="614" t="s">
        <v>243</v>
      </c>
      <c r="C63" s="692"/>
      <c r="D63" s="692"/>
      <c r="E63" s="696"/>
      <c r="F63" s="696"/>
      <c r="G63" s="692"/>
      <c r="H63" s="692"/>
      <c r="I63" s="692"/>
      <c r="J63" s="692"/>
      <c r="K63" s="692"/>
      <c r="L63" s="692"/>
      <c r="M63" s="692"/>
      <c r="N63" s="692"/>
      <c r="O63" s="692">
        <f aca="true" t="shared" si="11" ref="O63:O68">+C63-(SUM(D63:N63))</f>
        <v>0</v>
      </c>
      <c r="P63" s="325"/>
    </row>
    <row r="64" spans="1:16" s="88" customFormat="1" ht="12.75">
      <c r="A64" s="173"/>
      <c r="B64" s="614" t="s">
        <v>383</v>
      </c>
      <c r="C64" s="692"/>
      <c r="D64" s="692"/>
      <c r="E64" s="696"/>
      <c r="F64" s="696"/>
      <c r="G64" s="692"/>
      <c r="H64" s="692"/>
      <c r="I64" s="692"/>
      <c r="J64" s="692"/>
      <c r="K64" s="692"/>
      <c r="L64" s="692"/>
      <c r="M64" s="692"/>
      <c r="N64" s="692"/>
      <c r="O64" s="692">
        <f t="shared" si="11"/>
        <v>0</v>
      </c>
      <c r="P64" s="325"/>
    </row>
    <row r="65" spans="1:16" s="88" customFormat="1" ht="12.75">
      <c r="A65" s="173"/>
      <c r="B65" s="614" t="s">
        <v>384</v>
      </c>
      <c r="C65" s="692"/>
      <c r="D65" s="692"/>
      <c r="E65" s="696"/>
      <c r="F65" s="696"/>
      <c r="G65" s="692"/>
      <c r="H65" s="692"/>
      <c r="I65" s="692"/>
      <c r="J65" s="692"/>
      <c r="K65" s="692"/>
      <c r="L65" s="692"/>
      <c r="M65" s="692"/>
      <c r="N65" s="692"/>
      <c r="O65" s="692">
        <f t="shared" si="11"/>
        <v>0</v>
      </c>
      <c r="P65" s="325"/>
    </row>
    <row r="66" spans="1:16" s="88" customFormat="1" ht="12.75">
      <c r="A66" s="173"/>
      <c r="B66" s="352" t="s">
        <v>387</v>
      </c>
      <c r="C66" s="692"/>
      <c r="D66" s="692"/>
      <c r="E66" s="696"/>
      <c r="F66" s="696"/>
      <c r="G66" s="692"/>
      <c r="H66" s="692"/>
      <c r="I66" s="692"/>
      <c r="J66" s="692"/>
      <c r="K66" s="692"/>
      <c r="L66" s="692"/>
      <c r="M66" s="692"/>
      <c r="N66" s="692"/>
      <c r="O66" s="692">
        <f t="shared" si="11"/>
        <v>0</v>
      </c>
      <c r="P66" s="325"/>
    </row>
    <row r="67" spans="1:16" s="88" customFormat="1" ht="12.75" hidden="1">
      <c r="A67" s="173"/>
      <c r="B67" s="333"/>
      <c r="C67" s="691"/>
      <c r="D67" s="691"/>
      <c r="E67" s="691"/>
      <c r="F67" s="691"/>
      <c r="G67" s="691"/>
      <c r="H67" s="691"/>
      <c r="I67" s="691"/>
      <c r="J67" s="691"/>
      <c r="K67" s="691"/>
      <c r="L67" s="692"/>
      <c r="M67" s="692"/>
      <c r="N67" s="692"/>
      <c r="O67" s="691">
        <f t="shared" si="11"/>
        <v>0</v>
      </c>
      <c r="P67" s="325"/>
    </row>
    <row r="68" spans="1:16" s="88" customFormat="1" ht="12.75">
      <c r="A68" s="172"/>
      <c r="B68" s="353" t="s">
        <v>245</v>
      </c>
      <c r="C68" s="693">
        <f aca="true" t="shared" si="12" ref="C68:N68">SUM(C62:C67)</f>
        <v>0</v>
      </c>
      <c r="D68" s="693">
        <f t="shared" si="12"/>
        <v>0</v>
      </c>
      <c r="E68" s="693">
        <f t="shared" si="12"/>
        <v>0</v>
      </c>
      <c r="F68" s="693">
        <f t="shared" si="12"/>
        <v>0</v>
      </c>
      <c r="G68" s="693">
        <f t="shared" si="12"/>
        <v>0</v>
      </c>
      <c r="H68" s="693">
        <f t="shared" si="12"/>
        <v>0</v>
      </c>
      <c r="I68" s="693">
        <f>SUM(I62:I67)</f>
        <v>0</v>
      </c>
      <c r="J68" s="693">
        <f t="shared" si="12"/>
        <v>0</v>
      </c>
      <c r="K68" s="693">
        <f t="shared" si="12"/>
        <v>0</v>
      </c>
      <c r="L68" s="693">
        <f>SUM(L62:L67)</f>
        <v>0</v>
      </c>
      <c r="M68" s="693">
        <f>SUM(M62:M67)</f>
        <v>0</v>
      </c>
      <c r="N68" s="693">
        <f t="shared" si="12"/>
        <v>0</v>
      </c>
      <c r="O68" s="693">
        <f t="shared" si="11"/>
        <v>0</v>
      </c>
      <c r="P68" s="325"/>
    </row>
    <row r="69" spans="1:16" s="88" customFormat="1" ht="12.75">
      <c r="A69" s="173"/>
      <c r="B69" s="333" t="s">
        <v>21</v>
      </c>
      <c r="C69" s="691"/>
      <c r="D69" s="691"/>
      <c r="E69" s="691"/>
      <c r="F69" s="691"/>
      <c r="G69" s="691"/>
      <c r="H69" s="691"/>
      <c r="I69" s="691"/>
      <c r="J69" s="691"/>
      <c r="K69" s="691"/>
      <c r="L69" s="691"/>
      <c r="M69" s="691"/>
      <c r="N69" s="691"/>
      <c r="O69" s="691"/>
      <c r="P69" s="325"/>
    </row>
    <row r="70" spans="1:16" s="88" customFormat="1" ht="12.75">
      <c r="A70" s="173"/>
      <c r="B70" s="351"/>
      <c r="C70" s="692"/>
      <c r="D70" s="692"/>
      <c r="E70" s="696"/>
      <c r="F70" s="696"/>
      <c r="G70" s="692"/>
      <c r="H70" s="692"/>
      <c r="I70" s="692"/>
      <c r="J70" s="692"/>
      <c r="K70" s="692"/>
      <c r="L70" s="692"/>
      <c r="M70" s="692"/>
      <c r="N70" s="692"/>
      <c r="O70" s="692">
        <f>+C70-(SUM(D70:N70))</f>
        <v>0</v>
      </c>
      <c r="P70" s="325"/>
    </row>
    <row r="71" spans="1:16" s="88" customFormat="1" ht="12.75">
      <c r="A71" s="173"/>
      <c r="B71" s="351"/>
      <c r="C71" s="692"/>
      <c r="D71" s="692"/>
      <c r="E71" s="696"/>
      <c r="F71" s="696"/>
      <c r="G71" s="692"/>
      <c r="H71" s="692"/>
      <c r="I71" s="692"/>
      <c r="J71" s="692"/>
      <c r="K71" s="692"/>
      <c r="L71" s="692"/>
      <c r="M71" s="692"/>
      <c r="N71" s="692"/>
      <c r="O71" s="692">
        <f>+C71-(SUM(D71:N71))</f>
        <v>0</v>
      </c>
      <c r="P71" s="325"/>
    </row>
    <row r="72" spans="1:16" s="88" customFormat="1" ht="12.75" hidden="1">
      <c r="A72" s="173"/>
      <c r="B72" s="333"/>
      <c r="C72" s="691"/>
      <c r="D72" s="691"/>
      <c r="E72" s="691"/>
      <c r="F72" s="691"/>
      <c r="G72" s="691"/>
      <c r="H72" s="691"/>
      <c r="I72" s="691"/>
      <c r="J72" s="691"/>
      <c r="K72" s="691"/>
      <c r="L72" s="692"/>
      <c r="M72" s="692"/>
      <c r="N72" s="692"/>
      <c r="O72" s="691">
        <f>+C72-(SUM(D72:N72))</f>
        <v>0</v>
      </c>
      <c r="P72" s="325"/>
    </row>
    <row r="73" spans="1:16" s="88" customFormat="1" ht="12.75">
      <c r="A73" s="172"/>
      <c r="B73" s="336" t="s">
        <v>175</v>
      </c>
      <c r="C73" s="693">
        <f aca="true" t="shared" si="13" ref="C73:J73">SUM(C69:C72)</f>
        <v>0</v>
      </c>
      <c r="D73" s="693">
        <f t="shared" si="13"/>
        <v>0</v>
      </c>
      <c r="E73" s="693">
        <f t="shared" si="13"/>
        <v>0</v>
      </c>
      <c r="F73" s="693">
        <f t="shared" si="13"/>
        <v>0</v>
      </c>
      <c r="G73" s="693">
        <f t="shared" si="13"/>
        <v>0</v>
      </c>
      <c r="H73" s="693">
        <f>SUM(H69:H72)</f>
        <v>0</v>
      </c>
      <c r="I73" s="693">
        <f>SUM(I69:I72)</f>
        <v>0</v>
      </c>
      <c r="J73" s="693">
        <f t="shared" si="13"/>
        <v>0</v>
      </c>
      <c r="K73" s="693">
        <f>SUM(K69:K72)</f>
        <v>0</v>
      </c>
      <c r="L73" s="693">
        <f>SUM(L69:L72)</f>
        <v>0</v>
      </c>
      <c r="M73" s="693">
        <f>SUM(M69:M72)</f>
        <v>0</v>
      </c>
      <c r="N73" s="693">
        <f>SUM(N69:N72)</f>
        <v>0</v>
      </c>
      <c r="O73" s="693">
        <f>+C73-(SUM(D73:N73))</f>
        <v>0</v>
      </c>
      <c r="P73" s="325"/>
    </row>
    <row r="74" spans="1:16" s="88" customFormat="1" ht="12.75">
      <c r="A74" s="173"/>
      <c r="B74" s="333" t="s">
        <v>129</v>
      </c>
      <c r="C74" s="691"/>
      <c r="D74" s="691"/>
      <c r="E74" s="691"/>
      <c r="F74" s="691"/>
      <c r="G74" s="691"/>
      <c r="H74" s="691"/>
      <c r="I74" s="691"/>
      <c r="J74" s="691"/>
      <c r="K74" s="691"/>
      <c r="L74" s="691"/>
      <c r="M74" s="691"/>
      <c r="N74" s="691"/>
      <c r="O74" s="691"/>
      <c r="P74" s="325"/>
    </row>
    <row r="75" spans="1:16" s="88" customFormat="1" ht="12.75">
      <c r="A75" s="173"/>
      <c r="B75" s="351"/>
      <c r="C75" s="692"/>
      <c r="D75" s="692"/>
      <c r="E75" s="696"/>
      <c r="F75" s="696"/>
      <c r="G75" s="692"/>
      <c r="H75" s="692"/>
      <c r="I75" s="692"/>
      <c r="J75" s="692"/>
      <c r="K75" s="692"/>
      <c r="L75" s="692"/>
      <c r="M75" s="692"/>
      <c r="N75" s="692"/>
      <c r="O75" s="692">
        <f>+C75-(SUM(D75:N75))</f>
        <v>0</v>
      </c>
      <c r="P75" s="325"/>
    </row>
    <row r="76" spans="1:16" s="88" customFormat="1" ht="12.75">
      <c r="A76" s="173"/>
      <c r="B76" s="351"/>
      <c r="C76" s="692"/>
      <c r="D76" s="692"/>
      <c r="E76" s="696"/>
      <c r="F76" s="696"/>
      <c r="G76" s="692"/>
      <c r="H76" s="692"/>
      <c r="I76" s="692"/>
      <c r="J76" s="692"/>
      <c r="K76" s="692"/>
      <c r="L76" s="692"/>
      <c r="M76" s="692"/>
      <c r="N76" s="692"/>
      <c r="O76" s="692">
        <f>+C76-(SUM(D76:N76))</f>
        <v>0</v>
      </c>
      <c r="P76" s="325"/>
    </row>
    <row r="77" spans="1:16" s="88" customFormat="1" ht="12.75" hidden="1">
      <c r="A77" s="173"/>
      <c r="B77" s="333"/>
      <c r="C77" s="691"/>
      <c r="D77" s="691"/>
      <c r="E77" s="691"/>
      <c r="F77" s="691"/>
      <c r="G77" s="691"/>
      <c r="H77" s="691"/>
      <c r="I77" s="691"/>
      <c r="J77" s="691"/>
      <c r="K77" s="691"/>
      <c r="L77" s="692"/>
      <c r="M77" s="692"/>
      <c r="N77" s="692"/>
      <c r="O77" s="691">
        <f>+C77-(SUM(D77:N77))</f>
        <v>0</v>
      </c>
      <c r="P77" s="325"/>
    </row>
    <row r="78" spans="1:16" s="88" customFormat="1" ht="12.75">
      <c r="A78" s="172"/>
      <c r="B78" s="336" t="s">
        <v>176</v>
      </c>
      <c r="C78" s="693">
        <f aca="true" t="shared" si="14" ref="C78:J78">SUM(C74:C77)</f>
        <v>0</v>
      </c>
      <c r="D78" s="693">
        <f t="shared" si="14"/>
        <v>0</v>
      </c>
      <c r="E78" s="693">
        <f t="shared" si="14"/>
        <v>0</v>
      </c>
      <c r="F78" s="693">
        <f t="shared" si="14"/>
        <v>0</v>
      </c>
      <c r="G78" s="693">
        <f t="shared" si="14"/>
        <v>0</v>
      </c>
      <c r="H78" s="693">
        <f>SUM(H74:H77)</f>
        <v>0</v>
      </c>
      <c r="I78" s="693">
        <f>SUM(I74:I77)</f>
        <v>0</v>
      </c>
      <c r="J78" s="693">
        <f t="shared" si="14"/>
        <v>0</v>
      </c>
      <c r="K78" s="693">
        <f>SUM(K74:K77)</f>
        <v>0</v>
      </c>
      <c r="L78" s="693">
        <f>SUM(L74:L77)</f>
        <v>0</v>
      </c>
      <c r="M78" s="693">
        <f>SUM(M74:M77)</f>
        <v>0</v>
      </c>
      <c r="N78" s="693">
        <f>SUM(N74:N77)</f>
        <v>0</v>
      </c>
      <c r="O78" s="693">
        <f>+C78-(SUM(D78:N78))</f>
        <v>0</v>
      </c>
      <c r="P78" s="325"/>
    </row>
    <row r="79" spans="1:16" s="88" customFormat="1" ht="12.75">
      <c r="A79" s="173"/>
      <c r="B79" s="333" t="s">
        <v>130</v>
      </c>
      <c r="C79" s="691"/>
      <c r="D79" s="691"/>
      <c r="E79" s="691"/>
      <c r="F79" s="691"/>
      <c r="G79" s="691"/>
      <c r="H79" s="691"/>
      <c r="I79" s="691"/>
      <c r="J79" s="691"/>
      <c r="K79" s="691"/>
      <c r="L79" s="691"/>
      <c r="M79" s="691"/>
      <c r="N79" s="691"/>
      <c r="O79" s="691"/>
      <c r="P79" s="325"/>
    </row>
    <row r="80" spans="1:16" s="88" customFormat="1" ht="12.75" customHeight="1">
      <c r="A80" s="173"/>
      <c r="B80" s="354" t="s">
        <v>133</v>
      </c>
      <c r="C80" s="692"/>
      <c r="D80" s="692"/>
      <c r="E80" s="696"/>
      <c r="F80" s="696"/>
      <c r="G80" s="692"/>
      <c r="H80" s="692"/>
      <c r="I80" s="692"/>
      <c r="J80" s="692"/>
      <c r="K80" s="692"/>
      <c r="L80" s="692"/>
      <c r="M80" s="692"/>
      <c r="N80" s="692"/>
      <c r="O80" s="692">
        <f aca="true" t="shared" si="15" ref="O80:O87">+C80-(SUM(D80:N80))</f>
        <v>0</v>
      </c>
      <c r="P80" s="325"/>
    </row>
    <row r="81" spans="1:16" s="88" customFormat="1" ht="15" customHeight="1">
      <c r="A81" s="173"/>
      <c r="B81" s="354" t="s">
        <v>131</v>
      </c>
      <c r="C81" s="692"/>
      <c r="D81" s="692"/>
      <c r="E81" s="696"/>
      <c r="F81" s="696"/>
      <c r="G81" s="692"/>
      <c r="H81" s="692"/>
      <c r="I81" s="692"/>
      <c r="J81" s="692"/>
      <c r="K81" s="692"/>
      <c r="L81" s="692"/>
      <c r="M81" s="692"/>
      <c r="N81" s="692"/>
      <c r="O81" s="692">
        <f t="shared" si="15"/>
        <v>0</v>
      </c>
      <c r="P81" s="325"/>
    </row>
    <row r="82" spans="1:16" s="88" customFormat="1" ht="15" customHeight="1">
      <c r="A82" s="173"/>
      <c r="B82" s="728" t="s">
        <v>329</v>
      </c>
      <c r="C82" s="692"/>
      <c r="D82" s="692"/>
      <c r="E82" s="696"/>
      <c r="F82" s="696"/>
      <c r="G82" s="692"/>
      <c r="H82" s="692"/>
      <c r="I82" s="692"/>
      <c r="J82" s="692"/>
      <c r="K82" s="692"/>
      <c r="L82" s="692"/>
      <c r="M82" s="692"/>
      <c r="N82" s="692"/>
      <c r="O82" s="692">
        <f t="shared" si="15"/>
        <v>0</v>
      </c>
      <c r="P82" s="325"/>
    </row>
    <row r="83" spans="1:16" s="88" customFormat="1" ht="15" customHeight="1">
      <c r="A83" s="173"/>
      <c r="B83" s="354" t="s">
        <v>132</v>
      </c>
      <c r="C83" s="692"/>
      <c r="D83" s="692"/>
      <c r="E83" s="696"/>
      <c r="F83" s="696"/>
      <c r="G83" s="692"/>
      <c r="H83" s="692"/>
      <c r="I83" s="692"/>
      <c r="J83" s="692"/>
      <c r="K83" s="692"/>
      <c r="L83" s="692"/>
      <c r="M83" s="692"/>
      <c r="N83" s="692"/>
      <c r="O83" s="692">
        <f t="shared" si="15"/>
        <v>0</v>
      </c>
      <c r="P83" s="325"/>
    </row>
    <row r="84" spans="1:16" s="88" customFormat="1" ht="15" customHeight="1">
      <c r="A84" s="173"/>
      <c r="B84" s="355"/>
      <c r="C84" s="692"/>
      <c r="D84" s="692"/>
      <c r="E84" s="696"/>
      <c r="F84" s="696"/>
      <c r="G84" s="692"/>
      <c r="H84" s="692"/>
      <c r="I84" s="692"/>
      <c r="J84" s="692"/>
      <c r="K84" s="692"/>
      <c r="L84" s="692"/>
      <c r="M84" s="692"/>
      <c r="N84" s="692"/>
      <c r="O84" s="692">
        <f t="shared" si="15"/>
        <v>0</v>
      </c>
      <c r="P84" s="325"/>
    </row>
    <row r="85" spans="1:16" s="88" customFormat="1" ht="15" customHeight="1">
      <c r="A85" s="173"/>
      <c r="B85" s="355"/>
      <c r="C85" s="692"/>
      <c r="D85" s="692"/>
      <c r="E85" s="696"/>
      <c r="F85" s="696"/>
      <c r="G85" s="692"/>
      <c r="H85" s="692"/>
      <c r="I85" s="692"/>
      <c r="J85" s="692"/>
      <c r="K85" s="692"/>
      <c r="L85" s="692"/>
      <c r="M85" s="692"/>
      <c r="N85" s="692"/>
      <c r="O85" s="692">
        <f t="shared" si="15"/>
        <v>0</v>
      </c>
      <c r="P85" s="325"/>
    </row>
    <row r="86" spans="1:16" s="88" customFormat="1" ht="13.5" customHeight="1" hidden="1">
      <c r="A86" s="173"/>
      <c r="B86" s="354"/>
      <c r="C86" s="691"/>
      <c r="D86" s="691"/>
      <c r="E86" s="691"/>
      <c r="F86" s="691"/>
      <c r="G86" s="691"/>
      <c r="H86" s="691"/>
      <c r="I86" s="691"/>
      <c r="J86" s="691"/>
      <c r="K86" s="691"/>
      <c r="L86" s="692"/>
      <c r="M86" s="692"/>
      <c r="N86" s="692"/>
      <c r="O86" s="691">
        <f t="shared" si="15"/>
        <v>0</v>
      </c>
      <c r="P86" s="325"/>
    </row>
    <row r="87" spans="1:16" s="88" customFormat="1" ht="12.75">
      <c r="A87" s="172"/>
      <c r="B87" s="336" t="s">
        <v>158</v>
      </c>
      <c r="C87" s="693">
        <f aca="true" t="shared" si="16" ref="C87:J87">SUM(C79:C86)</f>
        <v>0</v>
      </c>
      <c r="D87" s="693">
        <f t="shared" si="16"/>
        <v>0</v>
      </c>
      <c r="E87" s="693">
        <f t="shared" si="16"/>
        <v>0</v>
      </c>
      <c r="F87" s="693">
        <f t="shared" si="16"/>
        <v>0</v>
      </c>
      <c r="G87" s="693">
        <f t="shared" si="16"/>
        <v>0</v>
      </c>
      <c r="H87" s="693">
        <f>SUM(H79:H86)</f>
        <v>0</v>
      </c>
      <c r="I87" s="693">
        <f>SUM(I79:I86)</f>
        <v>0</v>
      </c>
      <c r="J87" s="693">
        <f t="shared" si="16"/>
        <v>0</v>
      </c>
      <c r="K87" s="693">
        <f>SUM(K79:K86)</f>
        <v>0</v>
      </c>
      <c r="L87" s="693">
        <f>SUM(L79:L86)</f>
        <v>0</v>
      </c>
      <c r="M87" s="693">
        <f>SUM(M79:M86)</f>
        <v>0</v>
      </c>
      <c r="N87" s="693">
        <f>SUM(N79:N86)</f>
        <v>0</v>
      </c>
      <c r="O87" s="693">
        <f t="shared" si="15"/>
        <v>0</v>
      </c>
      <c r="P87" s="325"/>
    </row>
    <row r="88" spans="1:16" s="88" customFormat="1" ht="12.75" customHeight="1">
      <c r="A88" s="173"/>
      <c r="B88" s="333" t="s">
        <v>155</v>
      </c>
      <c r="C88" s="691"/>
      <c r="D88" s="691"/>
      <c r="E88" s="691"/>
      <c r="F88" s="691"/>
      <c r="G88" s="691"/>
      <c r="H88" s="691"/>
      <c r="I88" s="691"/>
      <c r="J88" s="691"/>
      <c r="K88" s="691"/>
      <c r="L88" s="691"/>
      <c r="M88" s="691"/>
      <c r="N88" s="691"/>
      <c r="O88" s="691"/>
      <c r="P88" s="325"/>
    </row>
    <row r="89" spans="1:16" s="88" customFormat="1" ht="12.75">
      <c r="A89" s="173"/>
      <c r="B89" s="356"/>
      <c r="C89" s="692"/>
      <c r="D89" s="692"/>
      <c r="E89" s="696"/>
      <c r="F89" s="696"/>
      <c r="G89" s="692"/>
      <c r="H89" s="692"/>
      <c r="I89" s="692"/>
      <c r="J89" s="692"/>
      <c r="K89" s="692"/>
      <c r="L89" s="692"/>
      <c r="M89" s="692"/>
      <c r="N89" s="692"/>
      <c r="O89" s="692">
        <f>+C89-(SUM(D89:N89))</f>
        <v>0</v>
      </c>
      <c r="P89" s="325"/>
    </row>
    <row r="90" spans="1:16" s="88" customFormat="1" ht="13.5" customHeight="1">
      <c r="A90" s="173"/>
      <c r="B90" s="356"/>
      <c r="C90" s="692"/>
      <c r="D90" s="692"/>
      <c r="E90" s="696"/>
      <c r="F90" s="696"/>
      <c r="G90" s="692"/>
      <c r="H90" s="692"/>
      <c r="I90" s="692"/>
      <c r="J90" s="692"/>
      <c r="K90" s="692"/>
      <c r="L90" s="692"/>
      <c r="M90" s="692"/>
      <c r="N90" s="692"/>
      <c r="O90" s="692">
        <f>+C90-(SUM(D90:N90))</f>
        <v>0</v>
      </c>
      <c r="P90" s="325"/>
    </row>
    <row r="91" spans="1:16" s="88" customFormat="1" ht="13.5" customHeight="1" hidden="1">
      <c r="A91" s="173"/>
      <c r="B91" s="354"/>
      <c r="C91" s="691"/>
      <c r="D91" s="691"/>
      <c r="E91" s="691"/>
      <c r="F91" s="691"/>
      <c r="G91" s="691"/>
      <c r="H91" s="691"/>
      <c r="I91" s="691"/>
      <c r="J91" s="691"/>
      <c r="K91" s="691"/>
      <c r="L91" s="692"/>
      <c r="M91" s="692"/>
      <c r="N91" s="692"/>
      <c r="O91" s="691">
        <f>+C91-(SUM(D91:N91))</f>
        <v>0</v>
      </c>
      <c r="P91" s="325"/>
    </row>
    <row r="92" spans="1:16" s="88" customFormat="1" ht="12.75">
      <c r="A92" s="172"/>
      <c r="B92" s="336" t="s">
        <v>159</v>
      </c>
      <c r="C92" s="693">
        <f aca="true" t="shared" si="17" ref="C92:J92">SUM(C88:C91)</f>
        <v>0</v>
      </c>
      <c r="D92" s="693">
        <f t="shared" si="17"/>
        <v>0</v>
      </c>
      <c r="E92" s="693">
        <f t="shared" si="17"/>
        <v>0</v>
      </c>
      <c r="F92" s="693">
        <f t="shared" si="17"/>
        <v>0</v>
      </c>
      <c r="G92" s="693">
        <f t="shared" si="17"/>
        <v>0</v>
      </c>
      <c r="H92" s="693">
        <f>SUM(H88:H91)</f>
        <v>0</v>
      </c>
      <c r="I92" s="693">
        <f>SUM(I88:I91)</f>
        <v>0</v>
      </c>
      <c r="J92" s="693">
        <f t="shared" si="17"/>
        <v>0</v>
      </c>
      <c r="K92" s="693">
        <f>SUM(K88:K91)</f>
        <v>0</v>
      </c>
      <c r="L92" s="693">
        <f>SUM(L88:L91)</f>
        <v>0</v>
      </c>
      <c r="M92" s="693">
        <f>SUM(M88:M91)</f>
        <v>0</v>
      </c>
      <c r="N92" s="693">
        <f>SUM(N88:N91)</f>
        <v>0</v>
      </c>
      <c r="O92" s="693">
        <f>+C92-(SUM(D92:N92))</f>
        <v>0</v>
      </c>
      <c r="P92" s="325"/>
    </row>
    <row r="93" spans="1:16" s="88" customFormat="1" ht="12.75">
      <c r="A93" s="173"/>
      <c r="B93" s="350" t="s">
        <v>157</v>
      </c>
      <c r="C93" s="694">
        <f>SUM(C61+C68+C73+C78+C87+C92)</f>
        <v>0</v>
      </c>
      <c r="D93" s="694">
        <f>SUM(D61+D68+D73+D78+D87+D92)</f>
        <v>0</v>
      </c>
      <c r="E93" s="694">
        <f aca="true" t="shared" si="18" ref="E93:O93">SUM(E92,E87,E78,E73,E61,E68)</f>
        <v>0</v>
      </c>
      <c r="F93" s="694">
        <f t="shared" si="18"/>
        <v>0</v>
      </c>
      <c r="G93" s="694">
        <f t="shared" si="18"/>
        <v>0</v>
      </c>
      <c r="H93" s="694">
        <f t="shared" si="18"/>
        <v>0</v>
      </c>
      <c r="I93" s="694">
        <f>SUM(I92,I87,I78,I73,I61,I68)</f>
        <v>0</v>
      </c>
      <c r="J93" s="694">
        <f t="shared" si="18"/>
        <v>0</v>
      </c>
      <c r="K93" s="694">
        <f t="shared" si="18"/>
        <v>0</v>
      </c>
      <c r="L93" s="694">
        <f>SUM(L92,L87,L78,L73,L61,L68)</f>
        <v>0</v>
      </c>
      <c r="M93" s="694">
        <f>SUM(M92,M87,M78,M73,M61,M68)</f>
        <v>0</v>
      </c>
      <c r="N93" s="694">
        <f t="shared" si="18"/>
        <v>0</v>
      </c>
      <c r="O93" s="694">
        <f t="shared" si="18"/>
        <v>0</v>
      </c>
      <c r="P93" s="325"/>
    </row>
    <row r="94" spans="1:16" s="88" customFormat="1" ht="12.75">
      <c r="A94" s="174"/>
      <c r="B94" s="780" t="s">
        <v>234</v>
      </c>
      <c r="C94" s="781"/>
      <c r="D94" s="781"/>
      <c r="E94" s="781"/>
      <c r="F94" s="781"/>
      <c r="G94" s="781"/>
      <c r="H94" s="781"/>
      <c r="I94" s="781"/>
      <c r="J94" s="781"/>
      <c r="K94" s="302"/>
      <c r="L94" s="302"/>
      <c r="M94" s="302"/>
      <c r="N94" s="302"/>
      <c r="O94" s="303"/>
      <c r="P94" s="325"/>
    </row>
    <row r="95" spans="1:16" s="88" customFormat="1" ht="12.75">
      <c r="A95" s="172"/>
      <c r="B95" s="333" t="s">
        <v>134</v>
      </c>
      <c r="C95" s="691"/>
      <c r="D95" s="691"/>
      <c r="E95" s="691"/>
      <c r="F95" s="691"/>
      <c r="G95" s="691"/>
      <c r="H95" s="691"/>
      <c r="I95" s="691"/>
      <c r="J95" s="691"/>
      <c r="K95" s="691"/>
      <c r="L95" s="691"/>
      <c r="M95" s="691"/>
      <c r="N95" s="691"/>
      <c r="O95" s="691"/>
      <c r="P95" s="325"/>
    </row>
    <row r="96" spans="1:16" s="88" customFormat="1" ht="12.75">
      <c r="A96" s="172"/>
      <c r="B96" s="340"/>
      <c r="C96" s="692"/>
      <c r="D96" s="692"/>
      <c r="E96" s="696"/>
      <c r="F96" s="696"/>
      <c r="G96" s="692"/>
      <c r="H96" s="692"/>
      <c r="I96" s="692"/>
      <c r="J96" s="692"/>
      <c r="K96" s="692"/>
      <c r="L96" s="692"/>
      <c r="M96" s="692"/>
      <c r="N96" s="692"/>
      <c r="O96" s="692">
        <f>+C96-(SUM(D96:N96))</f>
        <v>0</v>
      </c>
      <c r="P96" s="325"/>
    </row>
    <row r="97" spans="1:16" s="88" customFormat="1" ht="12.75">
      <c r="A97" s="172"/>
      <c r="B97" s="340"/>
      <c r="C97" s="692"/>
      <c r="D97" s="692"/>
      <c r="E97" s="696"/>
      <c r="F97" s="696"/>
      <c r="G97" s="692"/>
      <c r="H97" s="692"/>
      <c r="I97" s="692"/>
      <c r="J97" s="692"/>
      <c r="K97" s="692"/>
      <c r="L97" s="692"/>
      <c r="M97" s="692"/>
      <c r="N97" s="692"/>
      <c r="O97" s="692">
        <f>+C97-(SUM(D97:N97))</f>
        <v>0</v>
      </c>
      <c r="P97" s="325"/>
    </row>
    <row r="98" spans="1:16" s="88" customFormat="1" ht="12.75" hidden="1">
      <c r="A98" s="172"/>
      <c r="B98" s="357"/>
      <c r="C98" s="691"/>
      <c r="D98" s="691"/>
      <c r="E98" s="691"/>
      <c r="F98" s="691"/>
      <c r="G98" s="691"/>
      <c r="H98" s="691"/>
      <c r="I98" s="691"/>
      <c r="J98" s="691"/>
      <c r="K98" s="691"/>
      <c r="L98" s="692"/>
      <c r="M98" s="692"/>
      <c r="N98" s="692"/>
      <c r="O98" s="691">
        <f>+C98-(SUM(D98:N98))</f>
        <v>0</v>
      </c>
      <c r="P98" s="325"/>
    </row>
    <row r="99" spans="1:16" s="88" customFormat="1" ht="12.75">
      <c r="A99" s="172"/>
      <c r="B99" s="336" t="s">
        <v>160</v>
      </c>
      <c r="C99" s="693">
        <f aca="true" t="shared" si="19" ref="C99:J99">SUM(C95:C98)</f>
        <v>0</v>
      </c>
      <c r="D99" s="693">
        <f t="shared" si="19"/>
        <v>0</v>
      </c>
      <c r="E99" s="693">
        <f t="shared" si="19"/>
        <v>0</v>
      </c>
      <c r="F99" s="693">
        <f t="shared" si="19"/>
        <v>0</v>
      </c>
      <c r="G99" s="693">
        <f t="shared" si="19"/>
        <v>0</v>
      </c>
      <c r="H99" s="693">
        <f>SUM(H95:H98)</f>
        <v>0</v>
      </c>
      <c r="I99" s="693">
        <f>SUM(I95:I98)</f>
        <v>0</v>
      </c>
      <c r="J99" s="693">
        <f t="shared" si="19"/>
        <v>0</v>
      </c>
      <c r="K99" s="693">
        <f>SUM(K95:K98)</f>
        <v>0</v>
      </c>
      <c r="L99" s="693">
        <f>SUM(L95:L98)</f>
        <v>0</v>
      </c>
      <c r="M99" s="693">
        <f>SUM(M95:M98)</f>
        <v>0</v>
      </c>
      <c r="N99" s="693">
        <f>SUM(N95:N98)</f>
        <v>0</v>
      </c>
      <c r="O99" s="693">
        <f>+C99-(SUM(D99:N99))</f>
        <v>0</v>
      </c>
      <c r="P99" s="325"/>
    </row>
    <row r="100" spans="1:16" s="88" customFormat="1" ht="12.75">
      <c r="A100" s="173"/>
      <c r="B100" s="333" t="s">
        <v>135</v>
      </c>
      <c r="C100" s="691"/>
      <c r="D100" s="691"/>
      <c r="E100" s="691"/>
      <c r="F100" s="691"/>
      <c r="G100" s="691"/>
      <c r="H100" s="691"/>
      <c r="I100" s="691"/>
      <c r="J100" s="691"/>
      <c r="K100" s="691"/>
      <c r="L100" s="691"/>
      <c r="M100" s="691"/>
      <c r="N100" s="691"/>
      <c r="O100" s="691"/>
      <c r="P100" s="325"/>
    </row>
    <row r="101" spans="1:16" s="88" customFormat="1" ht="12.75">
      <c r="A101" s="173"/>
      <c r="B101" s="355"/>
      <c r="C101" s="692"/>
      <c r="D101" s="692"/>
      <c r="E101" s="696"/>
      <c r="F101" s="696"/>
      <c r="G101" s="692"/>
      <c r="H101" s="692"/>
      <c r="I101" s="692"/>
      <c r="J101" s="692"/>
      <c r="K101" s="692"/>
      <c r="L101" s="692"/>
      <c r="M101" s="692"/>
      <c r="N101" s="692"/>
      <c r="O101" s="692">
        <f>+C101-(SUM(D101:N101))</f>
        <v>0</v>
      </c>
      <c r="P101" s="325"/>
    </row>
    <row r="102" spans="1:16" s="88" customFormat="1" ht="12.75">
      <c r="A102" s="173"/>
      <c r="B102" s="355"/>
      <c r="C102" s="692"/>
      <c r="D102" s="692"/>
      <c r="E102" s="696"/>
      <c r="F102" s="696"/>
      <c r="G102" s="692"/>
      <c r="H102" s="692"/>
      <c r="I102" s="692"/>
      <c r="J102" s="692"/>
      <c r="K102" s="692"/>
      <c r="L102" s="692"/>
      <c r="M102" s="692"/>
      <c r="N102" s="692"/>
      <c r="O102" s="692">
        <f>+C102-(SUM(D102:N102))</f>
        <v>0</v>
      </c>
      <c r="P102" s="325"/>
    </row>
    <row r="103" spans="1:16" s="88" customFormat="1" ht="12.75" hidden="1">
      <c r="A103" s="173"/>
      <c r="B103" s="358"/>
      <c r="C103" s="691"/>
      <c r="D103" s="691"/>
      <c r="E103" s="691"/>
      <c r="F103" s="691"/>
      <c r="G103" s="691"/>
      <c r="H103" s="691"/>
      <c r="I103" s="691"/>
      <c r="J103" s="691"/>
      <c r="K103" s="691"/>
      <c r="L103" s="692"/>
      <c r="M103" s="692"/>
      <c r="N103" s="692"/>
      <c r="O103" s="691">
        <f>+C103-(SUM(D103:N103))</f>
        <v>0</v>
      </c>
      <c r="P103" s="325"/>
    </row>
    <row r="104" spans="1:16" s="88" customFormat="1" ht="12.75">
      <c r="A104" s="172"/>
      <c r="B104" s="336" t="s">
        <v>161</v>
      </c>
      <c r="C104" s="693">
        <f aca="true" t="shared" si="20" ref="C104:J104">SUM(C100:C103)</f>
        <v>0</v>
      </c>
      <c r="D104" s="693">
        <f t="shared" si="20"/>
        <v>0</v>
      </c>
      <c r="E104" s="693">
        <f t="shared" si="20"/>
        <v>0</v>
      </c>
      <c r="F104" s="693">
        <f t="shared" si="20"/>
        <v>0</v>
      </c>
      <c r="G104" s="693">
        <f t="shared" si="20"/>
        <v>0</v>
      </c>
      <c r="H104" s="693">
        <f>SUM(H100:H103)</f>
        <v>0</v>
      </c>
      <c r="I104" s="693">
        <f>SUM(I100:I103)</f>
        <v>0</v>
      </c>
      <c r="J104" s="693">
        <f t="shared" si="20"/>
        <v>0</v>
      </c>
      <c r="K104" s="693">
        <f>SUM(K100:K103)</f>
        <v>0</v>
      </c>
      <c r="L104" s="693">
        <f>SUM(L100:L103)</f>
        <v>0</v>
      </c>
      <c r="M104" s="693">
        <f>SUM(M100:M103)</f>
        <v>0</v>
      </c>
      <c r="N104" s="693">
        <f>SUM(N100:N103)</f>
        <v>0</v>
      </c>
      <c r="O104" s="693">
        <f>+C104-(SUM(D104:N104))</f>
        <v>0</v>
      </c>
      <c r="P104" s="325"/>
    </row>
    <row r="105" spans="1:16" s="88" customFormat="1" ht="12.75">
      <c r="A105" s="173"/>
      <c r="B105" s="333" t="s">
        <v>136</v>
      </c>
      <c r="C105" s="691"/>
      <c r="D105" s="691"/>
      <c r="E105" s="691"/>
      <c r="F105" s="691"/>
      <c r="G105" s="691"/>
      <c r="H105" s="691"/>
      <c r="I105" s="691"/>
      <c r="J105" s="691"/>
      <c r="K105" s="691"/>
      <c r="L105" s="691"/>
      <c r="M105" s="691"/>
      <c r="N105" s="691"/>
      <c r="O105" s="691"/>
      <c r="P105" s="325"/>
    </row>
    <row r="106" spans="1:16" s="88" customFormat="1" ht="12.75">
      <c r="A106" s="173"/>
      <c r="B106" s="355"/>
      <c r="C106" s="692"/>
      <c r="D106" s="692"/>
      <c r="E106" s="696"/>
      <c r="F106" s="696"/>
      <c r="G106" s="692"/>
      <c r="H106" s="692"/>
      <c r="I106" s="692"/>
      <c r="J106" s="692"/>
      <c r="K106" s="692"/>
      <c r="L106" s="692"/>
      <c r="M106" s="692"/>
      <c r="N106" s="692"/>
      <c r="O106" s="692">
        <f>+C106-(SUM(D106:N106))</f>
        <v>0</v>
      </c>
      <c r="P106" s="325"/>
    </row>
    <row r="107" spans="1:16" s="88" customFormat="1" ht="12.75">
      <c r="A107" s="173"/>
      <c r="B107" s="355"/>
      <c r="C107" s="692"/>
      <c r="D107" s="692"/>
      <c r="E107" s="696"/>
      <c r="F107" s="696"/>
      <c r="G107" s="692"/>
      <c r="H107" s="692"/>
      <c r="I107" s="692"/>
      <c r="J107" s="692"/>
      <c r="K107" s="692"/>
      <c r="L107" s="692"/>
      <c r="M107" s="692"/>
      <c r="N107" s="692"/>
      <c r="O107" s="692">
        <f>+C107-(SUM(D107:N107))</f>
        <v>0</v>
      </c>
      <c r="P107" s="325"/>
    </row>
    <row r="108" spans="1:16" s="88" customFormat="1" ht="12.75" hidden="1">
      <c r="A108" s="173"/>
      <c r="B108" s="358"/>
      <c r="C108" s="691"/>
      <c r="D108" s="691"/>
      <c r="E108" s="691"/>
      <c r="F108" s="691"/>
      <c r="G108" s="691"/>
      <c r="H108" s="691"/>
      <c r="I108" s="691"/>
      <c r="J108" s="691"/>
      <c r="K108" s="691"/>
      <c r="L108" s="692"/>
      <c r="M108" s="692"/>
      <c r="N108" s="692"/>
      <c r="O108" s="691">
        <f>+C108-(SUM(D108:N108))</f>
        <v>0</v>
      </c>
      <c r="P108" s="325"/>
    </row>
    <row r="109" spans="1:16" s="88" customFormat="1" ht="12.75">
      <c r="A109" s="172"/>
      <c r="B109" s="336" t="s">
        <v>162</v>
      </c>
      <c r="C109" s="693">
        <f aca="true" t="shared" si="21" ref="C109:J109">SUM(C105:C108)</f>
        <v>0</v>
      </c>
      <c r="D109" s="693">
        <f t="shared" si="21"/>
        <v>0</v>
      </c>
      <c r="E109" s="693">
        <f t="shared" si="21"/>
        <v>0</v>
      </c>
      <c r="F109" s="693">
        <f t="shared" si="21"/>
        <v>0</v>
      </c>
      <c r="G109" s="693">
        <f t="shared" si="21"/>
        <v>0</v>
      </c>
      <c r="H109" s="693">
        <f>SUM(H105:H108)</f>
        <v>0</v>
      </c>
      <c r="I109" s="693">
        <f>SUM(I105:I108)</f>
        <v>0</v>
      </c>
      <c r="J109" s="693">
        <f t="shared" si="21"/>
        <v>0</v>
      </c>
      <c r="K109" s="693">
        <f>SUM(K105:K108)</f>
        <v>0</v>
      </c>
      <c r="L109" s="693">
        <f>SUM(L105:L108)</f>
        <v>0</v>
      </c>
      <c r="M109" s="693">
        <f>SUM(M105:M108)</f>
        <v>0</v>
      </c>
      <c r="N109" s="693">
        <f>SUM(N105:N108)</f>
        <v>0</v>
      </c>
      <c r="O109" s="693">
        <f>+C109-(SUM(D109:N109))</f>
        <v>0</v>
      </c>
      <c r="P109" s="325"/>
    </row>
    <row r="110" spans="1:16" s="88" customFormat="1" ht="12.75">
      <c r="A110" s="173"/>
      <c r="B110" s="333" t="s">
        <v>140</v>
      </c>
      <c r="C110" s="691"/>
      <c r="D110" s="691"/>
      <c r="E110" s="691"/>
      <c r="F110" s="691"/>
      <c r="G110" s="691"/>
      <c r="H110" s="691"/>
      <c r="I110" s="691"/>
      <c r="J110" s="691"/>
      <c r="K110" s="691"/>
      <c r="L110" s="691"/>
      <c r="M110" s="691"/>
      <c r="N110" s="691"/>
      <c r="O110" s="691"/>
      <c r="P110" s="325"/>
    </row>
    <row r="111" spans="1:16" s="88" customFormat="1" ht="12.75">
      <c r="A111" s="173"/>
      <c r="B111" s="355"/>
      <c r="C111" s="692"/>
      <c r="D111" s="692"/>
      <c r="E111" s="696"/>
      <c r="F111" s="696"/>
      <c r="G111" s="692"/>
      <c r="H111" s="692"/>
      <c r="I111" s="692"/>
      <c r="J111" s="692"/>
      <c r="K111" s="692"/>
      <c r="L111" s="692"/>
      <c r="M111" s="692"/>
      <c r="N111" s="692"/>
      <c r="O111" s="692">
        <f>+C111-(SUM(D111:N111))</f>
        <v>0</v>
      </c>
      <c r="P111" s="325"/>
    </row>
    <row r="112" spans="1:16" s="88" customFormat="1" ht="12.75">
      <c r="A112" s="173"/>
      <c r="B112" s="355"/>
      <c r="C112" s="692"/>
      <c r="D112" s="692"/>
      <c r="E112" s="696"/>
      <c r="F112" s="696"/>
      <c r="G112" s="692"/>
      <c r="H112" s="692"/>
      <c r="I112" s="692"/>
      <c r="J112" s="692"/>
      <c r="K112" s="692"/>
      <c r="L112" s="692"/>
      <c r="M112" s="692"/>
      <c r="N112" s="692"/>
      <c r="O112" s="692">
        <f>+C112-(SUM(D112:N112))</f>
        <v>0</v>
      </c>
      <c r="P112" s="325"/>
    </row>
    <row r="113" spans="1:16" s="88" customFormat="1" ht="12.75" hidden="1">
      <c r="A113" s="173"/>
      <c r="B113" s="358"/>
      <c r="C113" s="691"/>
      <c r="D113" s="691"/>
      <c r="E113" s="691"/>
      <c r="F113" s="691"/>
      <c r="G113" s="691"/>
      <c r="H113" s="691"/>
      <c r="I113" s="691"/>
      <c r="J113" s="691"/>
      <c r="K113" s="691"/>
      <c r="L113" s="692"/>
      <c r="M113" s="692"/>
      <c r="N113" s="692"/>
      <c r="O113" s="691">
        <f>+C113-(SUM(D113:N113))</f>
        <v>0</v>
      </c>
      <c r="P113" s="325"/>
    </row>
    <row r="114" spans="1:16" s="88" customFormat="1" ht="12.75">
      <c r="A114" s="172"/>
      <c r="B114" s="336" t="s">
        <v>163</v>
      </c>
      <c r="C114" s="693">
        <f aca="true" t="shared" si="22" ref="C114:J114">SUM(C110:C113)</f>
        <v>0</v>
      </c>
      <c r="D114" s="693">
        <f t="shared" si="22"/>
        <v>0</v>
      </c>
      <c r="E114" s="693">
        <f t="shared" si="22"/>
        <v>0</v>
      </c>
      <c r="F114" s="693">
        <f t="shared" si="22"/>
        <v>0</v>
      </c>
      <c r="G114" s="693">
        <f t="shared" si="22"/>
        <v>0</v>
      </c>
      <c r="H114" s="693">
        <f>SUM(H110:H113)</f>
        <v>0</v>
      </c>
      <c r="I114" s="693">
        <f>SUM(I110:I113)</f>
        <v>0</v>
      </c>
      <c r="J114" s="693">
        <f t="shared" si="22"/>
        <v>0</v>
      </c>
      <c r="K114" s="693">
        <f>SUM(K110:K113)</f>
        <v>0</v>
      </c>
      <c r="L114" s="693">
        <f>SUM(L110:L113)</f>
        <v>0</v>
      </c>
      <c r="M114" s="693">
        <f>SUM(M110:M113)</f>
        <v>0</v>
      </c>
      <c r="N114" s="693">
        <f>SUM(N110:N113)</f>
        <v>0</v>
      </c>
      <c r="O114" s="693">
        <f>+C114-(SUM(D114:N114))</f>
        <v>0</v>
      </c>
      <c r="P114" s="325"/>
    </row>
    <row r="115" spans="1:16" s="88" customFormat="1" ht="12.75">
      <c r="A115" s="173"/>
      <c r="B115" s="350" t="s">
        <v>164</v>
      </c>
      <c r="C115" s="694">
        <f aca="true" t="shared" si="23" ref="C115:J115">SUM(C114,C109,C104,C99)</f>
        <v>0</v>
      </c>
      <c r="D115" s="694">
        <f t="shared" si="23"/>
        <v>0</v>
      </c>
      <c r="E115" s="694">
        <f t="shared" si="23"/>
        <v>0</v>
      </c>
      <c r="F115" s="694">
        <f t="shared" si="23"/>
        <v>0</v>
      </c>
      <c r="G115" s="694">
        <f t="shared" si="23"/>
        <v>0</v>
      </c>
      <c r="H115" s="694">
        <f>SUM(H114,H109,H104,H99)</f>
        <v>0</v>
      </c>
      <c r="I115" s="694">
        <f>SUM(I114,I109,I104,I99)</f>
        <v>0</v>
      </c>
      <c r="J115" s="694">
        <f t="shared" si="23"/>
        <v>0</v>
      </c>
      <c r="K115" s="694">
        <f>SUM(K114,K109,K104,K99)</f>
        <v>0</v>
      </c>
      <c r="L115" s="694">
        <f>SUM(L114,L109,L104,L99)</f>
        <v>0</v>
      </c>
      <c r="M115" s="694">
        <f>SUM(M114,M109,M104,M99)</f>
        <v>0</v>
      </c>
      <c r="N115" s="694">
        <f>SUM(N114,N109,N104,N99)</f>
        <v>0</v>
      </c>
      <c r="O115" s="694">
        <f>+C115-(SUM(D115:N115))</f>
        <v>0</v>
      </c>
      <c r="P115" s="325"/>
    </row>
    <row r="116" spans="1:16" s="88" customFormat="1" ht="12.75">
      <c r="A116" s="174"/>
      <c r="B116" s="780" t="s">
        <v>235</v>
      </c>
      <c r="C116" s="781"/>
      <c r="D116" s="781"/>
      <c r="E116" s="781"/>
      <c r="F116" s="781"/>
      <c r="G116" s="781"/>
      <c r="H116" s="781"/>
      <c r="I116" s="781"/>
      <c r="J116" s="781"/>
      <c r="K116" s="302"/>
      <c r="L116" s="302"/>
      <c r="M116" s="302"/>
      <c r="N116" s="302"/>
      <c r="O116" s="303"/>
      <c r="P116" s="325"/>
    </row>
    <row r="117" spans="1:16" s="88" customFormat="1" ht="12.75">
      <c r="A117" s="172"/>
      <c r="B117" s="333" t="s">
        <v>6</v>
      </c>
      <c r="C117" s="691"/>
      <c r="D117" s="691"/>
      <c r="E117" s="691"/>
      <c r="F117" s="691"/>
      <c r="G117" s="691"/>
      <c r="H117" s="691"/>
      <c r="I117" s="691"/>
      <c r="J117" s="691"/>
      <c r="K117" s="691"/>
      <c r="L117" s="691"/>
      <c r="M117" s="691"/>
      <c r="N117" s="691"/>
      <c r="O117" s="691"/>
      <c r="P117" s="325"/>
    </row>
    <row r="118" spans="1:16" s="88" customFormat="1" ht="12.75">
      <c r="A118" s="172"/>
      <c r="B118" s="351"/>
      <c r="C118" s="692"/>
      <c r="D118" s="692"/>
      <c r="E118" s="696"/>
      <c r="F118" s="696"/>
      <c r="G118" s="692"/>
      <c r="H118" s="692"/>
      <c r="I118" s="692"/>
      <c r="J118" s="692"/>
      <c r="K118" s="692"/>
      <c r="L118" s="692"/>
      <c r="M118" s="692"/>
      <c r="N118" s="692"/>
      <c r="O118" s="692">
        <f>+C118-(SUM(D118:N118))</f>
        <v>0</v>
      </c>
      <c r="P118" s="325"/>
    </row>
    <row r="119" spans="1:16" s="88" customFormat="1" ht="12.75">
      <c r="A119" s="172"/>
      <c r="B119" s="351"/>
      <c r="C119" s="692"/>
      <c r="D119" s="692"/>
      <c r="E119" s="696"/>
      <c r="F119" s="696"/>
      <c r="G119" s="692"/>
      <c r="H119" s="692"/>
      <c r="I119" s="692"/>
      <c r="J119" s="692"/>
      <c r="K119" s="692"/>
      <c r="L119" s="692"/>
      <c r="M119" s="692"/>
      <c r="N119" s="692"/>
      <c r="O119" s="692">
        <f>+C119-(SUM(D119:N119))</f>
        <v>0</v>
      </c>
      <c r="P119" s="325"/>
    </row>
    <row r="120" spans="1:16" s="88" customFormat="1" ht="12.75" hidden="1">
      <c r="A120" s="172"/>
      <c r="B120" s="333"/>
      <c r="C120" s="691"/>
      <c r="D120" s="691"/>
      <c r="E120" s="691"/>
      <c r="F120" s="691"/>
      <c r="G120" s="691"/>
      <c r="H120" s="691"/>
      <c r="I120" s="691"/>
      <c r="J120" s="691"/>
      <c r="K120" s="691"/>
      <c r="L120" s="692"/>
      <c r="M120" s="692"/>
      <c r="N120" s="692"/>
      <c r="O120" s="691">
        <f>+C120-(SUM(D120:N120))</f>
        <v>0</v>
      </c>
      <c r="P120" s="325"/>
    </row>
    <row r="121" spans="1:16" s="88" customFormat="1" ht="12.75">
      <c r="A121" s="172"/>
      <c r="B121" s="336" t="s">
        <v>177</v>
      </c>
      <c r="C121" s="693">
        <f aca="true" t="shared" si="24" ref="C121:J121">SUM(C117:C120)</f>
        <v>0</v>
      </c>
      <c r="D121" s="693">
        <f t="shared" si="24"/>
        <v>0</v>
      </c>
      <c r="E121" s="693">
        <f t="shared" si="24"/>
        <v>0</v>
      </c>
      <c r="F121" s="693">
        <f t="shared" si="24"/>
        <v>0</v>
      </c>
      <c r="G121" s="693">
        <f t="shared" si="24"/>
        <v>0</v>
      </c>
      <c r="H121" s="693">
        <f>SUM(H117:H120)</f>
        <v>0</v>
      </c>
      <c r="I121" s="693">
        <f>SUM(I117:I120)</f>
        <v>0</v>
      </c>
      <c r="J121" s="693">
        <f t="shared" si="24"/>
        <v>0</v>
      </c>
      <c r="K121" s="693">
        <f>SUM(K117:K120)</f>
        <v>0</v>
      </c>
      <c r="L121" s="693">
        <f>SUM(L117:L120)</f>
        <v>0</v>
      </c>
      <c r="M121" s="693">
        <f>SUM(M117:M120)</f>
        <v>0</v>
      </c>
      <c r="N121" s="693">
        <f>SUM(N117:N120)</f>
        <v>0</v>
      </c>
      <c r="O121" s="693">
        <f>+C121-(SUM(D121:N121))</f>
        <v>0</v>
      </c>
      <c r="P121" s="325"/>
    </row>
    <row r="122" spans="1:16" s="88" customFormat="1" ht="12.75">
      <c r="A122" s="173"/>
      <c r="B122" s="333" t="s">
        <v>7</v>
      </c>
      <c r="C122" s="691"/>
      <c r="D122" s="691"/>
      <c r="E122" s="691"/>
      <c r="F122" s="691"/>
      <c r="G122" s="691"/>
      <c r="H122" s="691"/>
      <c r="I122" s="691"/>
      <c r="J122" s="691"/>
      <c r="K122" s="691"/>
      <c r="L122" s="691"/>
      <c r="M122" s="691"/>
      <c r="N122" s="691"/>
      <c r="O122" s="691"/>
      <c r="P122" s="325"/>
    </row>
    <row r="123" spans="1:16" s="88" customFormat="1" ht="12.75">
      <c r="A123" s="173"/>
      <c r="B123" s="351"/>
      <c r="C123" s="692"/>
      <c r="D123" s="692"/>
      <c r="E123" s="696"/>
      <c r="F123" s="696"/>
      <c r="G123" s="692"/>
      <c r="H123" s="692"/>
      <c r="I123" s="692"/>
      <c r="J123" s="692"/>
      <c r="K123" s="692"/>
      <c r="L123" s="692"/>
      <c r="M123" s="692"/>
      <c r="N123" s="692"/>
      <c r="O123" s="692">
        <f>+C123-(SUM(D123:N123))</f>
        <v>0</v>
      </c>
      <c r="P123" s="325"/>
    </row>
    <row r="124" spans="1:16" s="88" customFormat="1" ht="12.75">
      <c r="A124" s="173"/>
      <c r="B124" s="351"/>
      <c r="C124" s="692"/>
      <c r="D124" s="692"/>
      <c r="E124" s="696"/>
      <c r="F124" s="696"/>
      <c r="G124" s="692"/>
      <c r="H124" s="692"/>
      <c r="I124" s="692"/>
      <c r="J124" s="692"/>
      <c r="K124" s="692"/>
      <c r="L124" s="692"/>
      <c r="M124" s="692"/>
      <c r="N124" s="692"/>
      <c r="O124" s="692">
        <f>+C124-(SUM(D124:N124))</f>
        <v>0</v>
      </c>
      <c r="P124" s="325"/>
    </row>
    <row r="125" spans="1:16" s="88" customFormat="1" ht="12.75" hidden="1">
      <c r="A125" s="173"/>
      <c r="B125" s="333"/>
      <c r="C125" s="691"/>
      <c r="D125" s="691"/>
      <c r="E125" s="691"/>
      <c r="F125" s="691"/>
      <c r="G125" s="691"/>
      <c r="H125" s="691"/>
      <c r="I125" s="691"/>
      <c r="J125" s="691"/>
      <c r="K125" s="691"/>
      <c r="L125" s="692"/>
      <c r="M125" s="692"/>
      <c r="N125" s="692"/>
      <c r="O125" s="691">
        <f>+C125-(SUM(D125:N125))</f>
        <v>0</v>
      </c>
      <c r="P125" s="325"/>
    </row>
    <row r="126" spans="1:16" s="88" customFormat="1" ht="12.75">
      <c r="A126" s="172"/>
      <c r="B126" s="336" t="s">
        <v>178</v>
      </c>
      <c r="C126" s="693">
        <f aca="true" t="shared" si="25" ref="C126:J126">SUM(C122:C125)</f>
        <v>0</v>
      </c>
      <c r="D126" s="693">
        <f t="shared" si="25"/>
        <v>0</v>
      </c>
      <c r="E126" s="693">
        <f t="shared" si="25"/>
        <v>0</v>
      </c>
      <c r="F126" s="693">
        <f t="shared" si="25"/>
        <v>0</v>
      </c>
      <c r="G126" s="693">
        <f t="shared" si="25"/>
        <v>0</v>
      </c>
      <c r="H126" s="693">
        <f>SUM(H122:H125)</f>
        <v>0</v>
      </c>
      <c r="I126" s="693">
        <f>SUM(I122:I125)</f>
        <v>0</v>
      </c>
      <c r="J126" s="693">
        <f t="shared" si="25"/>
        <v>0</v>
      </c>
      <c r="K126" s="693">
        <f>SUM(K122:K125)</f>
        <v>0</v>
      </c>
      <c r="L126" s="693">
        <f>SUM(L122:L125)</f>
        <v>0</v>
      </c>
      <c r="M126" s="693">
        <f>SUM(M122:M125)</f>
        <v>0</v>
      </c>
      <c r="N126" s="693">
        <f>SUM(N122:N125)</f>
        <v>0</v>
      </c>
      <c r="O126" s="693">
        <f>+C126-(SUM(D126:N126))</f>
        <v>0</v>
      </c>
      <c r="P126" s="325"/>
    </row>
    <row r="127" spans="1:16" s="88" customFormat="1" ht="12.75">
      <c r="A127" s="173"/>
      <c r="B127" s="333" t="s">
        <v>134</v>
      </c>
      <c r="C127" s="691"/>
      <c r="D127" s="691"/>
      <c r="E127" s="691"/>
      <c r="F127" s="691"/>
      <c r="G127" s="691"/>
      <c r="H127" s="691"/>
      <c r="I127" s="691"/>
      <c r="J127" s="691"/>
      <c r="K127" s="691"/>
      <c r="L127" s="691"/>
      <c r="M127" s="691"/>
      <c r="N127" s="691"/>
      <c r="O127" s="691"/>
      <c r="P127" s="325"/>
    </row>
    <row r="128" spans="1:16" s="88" customFormat="1" ht="12.75">
      <c r="A128" s="173"/>
      <c r="B128" s="355"/>
      <c r="C128" s="692"/>
      <c r="D128" s="692"/>
      <c r="E128" s="696"/>
      <c r="F128" s="696"/>
      <c r="G128" s="692"/>
      <c r="H128" s="692"/>
      <c r="I128" s="692"/>
      <c r="J128" s="692"/>
      <c r="K128" s="692"/>
      <c r="L128" s="692"/>
      <c r="M128" s="692"/>
      <c r="N128" s="692"/>
      <c r="O128" s="692">
        <f>+C128-(SUM(D128:N128))</f>
        <v>0</v>
      </c>
      <c r="P128" s="325"/>
    </row>
    <row r="129" spans="1:16" s="88" customFormat="1" ht="12.75">
      <c r="A129" s="173"/>
      <c r="B129" s="355"/>
      <c r="C129" s="692"/>
      <c r="D129" s="692"/>
      <c r="E129" s="696"/>
      <c r="F129" s="696"/>
      <c r="G129" s="692"/>
      <c r="H129" s="692"/>
      <c r="I129" s="692"/>
      <c r="J129" s="692"/>
      <c r="K129" s="692"/>
      <c r="L129" s="692"/>
      <c r="M129" s="692"/>
      <c r="N129" s="692"/>
      <c r="O129" s="692">
        <f>+C129-(SUM(D129:N129))</f>
        <v>0</v>
      </c>
      <c r="P129" s="325"/>
    </row>
    <row r="130" spans="1:16" s="88" customFormat="1" ht="12.75" hidden="1">
      <c r="A130" s="173"/>
      <c r="B130" s="358"/>
      <c r="C130" s="691"/>
      <c r="D130" s="691"/>
      <c r="E130" s="691"/>
      <c r="F130" s="691"/>
      <c r="G130" s="691"/>
      <c r="H130" s="691"/>
      <c r="I130" s="691"/>
      <c r="J130" s="691"/>
      <c r="K130" s="691"/>
      <c r="L130" s="692"/>
      <c r="M130" s="692"/>
      <c r="N130" s="692"/>
      <c r="O130" s="691">
        <f>+C130-(SUM(D130:N130))</f>
        <v>0</v>
      </c>
      <c r="P130" s="325"/>
    </row>
    <row r="131" spans="1:16" s="88" customFormat="1" ht="12.75">
      <c r="A131" s="172"/>
      <c r="B131" s="336" t="s">
        <v>160</v>
      </c>
      <c r="C131" s="693">
        <f aca="true" t="shared" si="26" ref="C131:J131">SUM(C127:C130)</f>
        <v>0</v>
      </c>
      <c r="D131" s="693">
        <f t="shared" si="26"/>
        <v>0</v>
      </c>
      <c r="E131" s="693">
        <f t="shared" si="26"/>
        <v>0</v>
      </c>
      <c r="F131" s="693">
        <f t="shared" si="26"/>
        <v>0</v>
      </c>
      <c r="G131" s="693">
        <f t="shared" si="26"/>
        <v>0</v>
      </c>
      <c r="H131" s="693">
        <f>SUM(H127:H130)</f>
        <v>0</v>
      </c>
      <c r="I131" s="693">
        <f>SUM(I127:I130)</f>
        <v>0</v>
      </c>
      <c r="J131" s="693">
        <f t="shared" si="26"/>
        <v>0</v>
      </c>
      <c r="K131" s="693">
        <f>SUM(K127:K130)</f>
        <v>0</v>
      </c>
      <c r="L131" s="693">
        <f>SUM(L127:L130)</f>
        <v>0</v>
      </c>
      <c r="M131" s="693">
        <f>SUM(M127:M130)</f>
        <v>0</v>
      </c>
      <c r="N131" s="693">
        <f>SUM(N127:N130)</f>
        <v>0</v>
      </c>
      <c r="O131" s="693">
        <f>+C131-(SUM(D131:N131))</f>
        <v>0</v>
      </c>
      <c r="P131" s="325"/>
    </row>
    <row r="132" spans="1:16" s="88" customFormat="1" ht="12.75">
      <c r="A132" s="173"/>
      <c r="B132" s="333" t="s">
        <v>39</v>
      </c>
      <c r="C132" s="691"/>
      <c r="D132" s="691"/>
      <c r="E132" s="691"/>
      <c r="F132" s="691"/>
      <c r="G132" s="691"/>
      <c r="H132" s="691"/>
      <c r="I132" s="691"/>
      <c r="J132" s="691"/>
      <c r="K132" s="691"/>
      <c r="L132" s="691"/>
      <c r="M132" s="691"/>
      <c r="N132" s="691"/>
      <c r="O132" s="691"/>
      <c r="P132" s="325"/>
    </row>
    <row r="133" spans="1:16" s="88" customFormat="1" ht="12.75">
      <c r="A133" s="173"/>
      <c r="B133" s="351"/>
      <c r="C133" s="692"/>
      <c r="D133" s="692"/>
      <c r="E133" s="696"/>
      <c r="F133" s="696"/>
      <c r="G133" s="692"/>
      <c r="H133" s="692"/>
      <c r="I133" s="692"/>
      <c r="J133" s="692"/>
      <c r="K133" s="692"/>
      <c r="L133" s="692"/>
      <c r="M133" s="692"/>
      <c r="N133" s="692"/>
      <c r="O133" s="692">
        <f>+C133-(SUM(D133:N133))</f>
        <v>0</v>
      </c>
      <c r="P133" s="325"/>
    </row>
    <row r="134" spans="1:16" s="88" customFormat="1" ht="12.75">
      <c r="A134" s="173"/>
      <c r="B134" s="351"/>
      <c r="C134" s="692"/>
      <c r="D134" s="692"/>
      <c r="E134" s="696"/>
      <c r="F134" s="696"/>
      <c r="G134" s="692"/>
      <c r="H134" s="692"/>
      <c r="I134" s="692"/>
      <c r="J134" s="692"/>
      <c r="K134" s="692"/>
      <c r="L134" s="692"/>
      <c r="M134" s="692"/>
      <c r="N134" s="692"/>
      <c r="O134" s="692">
        <f>+C134-(SUM(D134:N134))</f>
        <v>0</v>
      </c>
      <c r="P134" s="325"/>
    </row>
    <row r="135" spans="1:16" s="88" customFormat="1" ht="12.75" hidden="1">
      <c r="A135" s="173"/>
      <c r="B135" s="333"/>
      <c r="C135" s="691"/>
      <c r="D135" s="691"/>
      <c r="E135" s="691"/>
      <c r="F135" s="691"/>
      <c r="G135" s="691"/>
      <c r="H135" s="691"/>
      <c r="I135" s="691"/>
      <c r="J135" s="691"/>
      <c r="K135" s="691"/>
      <c r="L135" s="692"/>
      <c r="M135" s="692"/>
      <c r="N135" s="692"/>
      <c r="O135" s="691">
        <f>+C135-(SUM(D135:N135))</f>
        <v>0</v>
      </c>
      <c r="P135" s="325"/>
    </row>
    <row r="136" spans="1:16" s="88" customFormat="1" ht="12.75">
      <c r="A136" s="172"/>
      <c r="B136" s="336" t="s">
        <v>228</v>
      </c>
      <c r="C136" s="693">
        <f aca="true" t="shared" si="27" ref="C136:J136">SUM(C132:C135)</f>
        <v>0</v>
      </c>
      <c r="D136" s="693">
        <f t="shared" si="27"/>
        <v>0</v>
      </c>
      <c r="E136" s="693">
        <f t="shared" si="27"/>
        <v>0</v>
      </c>
      <c r="F136" s="693">
        <f t="shared" si="27"/>
        <v>0</v>
      </c>
      <c r="G136" s="693">
        <f t="shared" si="27"/>
        <v>0</v>
      </c>
      <c r="H136" s="693">
        <f>SUM(H132:H135)</f>
        <v>0</v>
      </c>
      <c r="I136" s="693">
        <f>SUM(I132:I135)</f>
        <v>0</v>
      </c>
      <c r="J136" s="693">
        <f t="shared" si="27"/>
        <v>0</v>
      </c>
      <c r="K136" s="693">
        <f>SUM(K132:K135)</f>
        <v>0</v>
      </c>
      <c r="L136" s="693">
        <f>SUM(L132:L135)</f>
        <v>0</v>
      </c>
      <c r="M136" s="693">
        <f>SUM(M132:M135)</f>
        <v>0</v>
      </c>
      <c r="N136" s="693">
        <f>SUM(N132:N135)</f>
        <v>0</v>
      </c>
      <c r="O136" s="693">
        <f>+C136-(SUM(D136:N136))</f>
        <v>0</v>
      </c>
      <c r="P136" s="325"/>
    </row>
    <row r="137" spans="1:16" s="88" customFormat="1" ht="12.75">
      <c r="A137" s="173"/>
      <c r="B137" s="333" t="s">
        <v>138</v>
      </c>
      <c r="C137" s="691"/>
      <c r="D137" s="691"/>
      <c r="E137" s="691"/>
      <c r="F137" s="691"/>
      <c r="G137" s="691"/>
      <c r="H137" s="691"/>
      <c r="I137" s="691"/>
      <c r="J137" s="691"/>
      <c r="K137" s="691"/>
      <c r="L137" s="691"/>
      <c r="M137" s="691"/>
      <c r="N137" s="691"/>
      <c r="O137" s="691"/>
      <c r="P137" s="325"/>
    </row>
    <row r="138" spans="1:16" s="88" customFormat="1" ht="12.75">
      <c r="A138" s="173"/>
      <c r="B138" s="334"/>
      <c r="C138" s="692"/>
      <c r="D138" s="692"/>
      <c r="E138" s="696"/>
      <c r="F138" s="696"/>
      <c r="G138" s="692"/>
      <c r="H138" s="692"/>
      <c r="I138" s="692"/>
      <c r="J138" s="692"/>
      <c r="K138" s="692"/>
      <c r="L138" s="692"/>
      <c r="M138" s="692"/>
      <c r="N138" s="692"/>
      <c r="O138" s="692">
        <f>+C138-(SUM(D138:N138))</f>
        <v>0</v>
      </c>
      <c r="P138" s="325"/>
    </row>
    <row r="139" spans="1:16" s="88" customFormat="1" ht="12.75">
      <c r="A139" s="173"/>
      <c r="B139" s="355"/>
      <c r="C139" s="692"/>
      <c r="D139" s="692"/>
      <c r="E139" s="696"/>
      <c r="F139" s="696"/>
      <c r="G139" s="692"/>
      <c r="H139" s="692"/>
      <c r="I139" s="692"/>
      <c r="J139" s="692"/>
      <c r="K139" s="692"/>
      <c r="L139" s="692"/>
      <c r="M139" s="692"/>
      <c r="N139" s="692"/>
      <c r="O139" s="692">
        <f>+C139-(SUM(D139:N139))</f>
        <v>0</v>
      </c>
      <c r="P139" s="325"/>
    </row>
    <row r="140" spans="1:16" s="88" customFormat="1" ht="12.75" hidden="1">
      <c r="A140" s="173"/>
      <c r="B140" s="358"/>
      <c r="C140" s="691"/>
      <c r="D140" s="691"/>
      <c r="E140" s="691"/>
      <c r="F140" s="691"/>
      <c r="G140" s="691"/>
      <c r="H140" s="691"/>
      <c r="I140" s="691"/>
      <c r="J140" s="691"/>
      <c r="K140" s="691"/>
      <c r="L140" s="692"/>
      <c r="M140" s="692"/>
      <c r="N140" s="692"/>
      <c r="O140" s="691">
        <f>+C140-(SUM(D140:N140))</f>
        <v>0</v>
      </c>
      <c r="P140" s="325"/>
    </row>
    <row r="141" spans="1:16" s="88" customFormat="1" ht="12.75">
      <c r="A141" s="172"/>
      <c r="B141" s="336" t="s">
        <v>165</v>
      </c>
      <c r="C141" s="693">
        <f aca="true" t="shared" si="28" ref="C141:J141">SUM(C137:C140)</f>
        <v>0</v>
      </c>
      <c r="D141" s="693">
        <f t="shared" si="28"/>
        <v>0</v>
      </c>
      <c r="E141" s="693">
        <f t="shared" si="28"/>
        <v>0</v>
      </c>
      <c r="F141" s="693">
        <f t="shared" si="28"/>
        <v>0</v>
      </c>
      <c r="G141" s="693">
        <f t="shared" si="28"/>
        <v>0</v>
      </c>
      <c r="H141" s="693">
        <f>SUM(H137:H140)</f>
        <v>0</v>
      </c>
      <c r="I141" s="693">
        <f>SUM(I137:I140)</f>
        <v>0</v>
      </c>
      <c r="J141" s="693">
        <f t="shared" si="28"/>
        <v>0</v>
      </c>
      <c r="K141" s="693">
        <f>SUM(K137:K140)</f>
        <v>0</v>
      </c>
      <c r="L141" s="693">
        <f>SUM(L137:L140)</f>
        <v>0</v>
      </c>
      <c r="M141" s="693">
        <f>SUM(M137:M140)</f>
        <v>0</v>
      </c>
      <c r="N141" s="693">
        <f>SUM(N137:N140)</f>
        <v>0</v>
      </c>
      <c r="O141" s="693">
        <f>+C141-(SUM(D141:N141))</f>
        <v>0</v>
      </c>
      <c r="P141" s="325"/>
    </row>
    <row r="142" spans="1:16" s="88" customFormat="1" ht="12.75">
      <c r="A142" s="173"/>
      <c r="B142" s="333" t="s">
        <v>8</v>
      </c>
      <c r="C142" s="691"/>
      <c r="D142" s="691"/>
      <c r="E142" s="691"/>
      <c r="F142" s="691"/>
      <c r="G142" s="691"/>
      <c r="H142" s="691"/>
      <c r="I142" s="691"/>
      <c r="J142" s="691"/>
      <c r="K142" s="691"/>
      <c r="L142" s="691"/>
      <c r="M142" s="691"/>
      <c r="N142" s="691"/>
      <c r="O142" s="691"/>
      <c r="P142" s="325"/>
    </row>
    <row r="143" spans="1:16" s="88" customFormat="1" ht="12.75">
      <c r="A143" s="173"/>
      <c r="B143" s="351"/>
      <c r="C143" s="692"/>
      <c r="D143" s="692"/>
      <c r="E143" s="696"/>
      <c r="F143" s="696"/>
      <c r="G143" s="692"/>
      <c r="H143" s="692"/>
      <c r="I143" s="692"/>
      <c r="J143" s="692"/>
      <c r="K143" s="692"/>
      <c r="L143" s="692"/>
      <c r="M143" s="692"/>
      <c r="N143" s="692"/>
      <c r="O143" s="692">
        <f>+C143-(SUM(D143:N143))</f>
        <v>0</v>
      </c>
      <c r="P143" s="325"/>
    </row>
    <row r="144" spans="1:16" s="88" customFormat="1" ht="12.75">
      <c r="A144" s="173"/>
      <c r="B144" s="351"/>
      <c r="C144" s="692"/>
      <c r="D144" s="692"/>
      <c r="E144" s="696"/>
      <c r="F144" s="696"/>
      <c r="G144" s="692"/>
      <c r="H144" s="692"/>
      <c r="I144" s="692"/>
      <c r="J144" s="692"/>
      <c r="K144" s="692"/>
      <c r="L144" s="692"/>
      <c r="M144" s="692"/>
      <c r="N144" s="692"/>
      <c r="O144" s="692">
        <f>+C144-(SUM(D144:N144))</f>
        <v>0</v>
      </c>
      <c r="P144" s="325"/>
    </row>
    <row r="145" spans="1:16" s="88" customFormat="1" ht="12.75" hidden="1">
      <c r="A145" s="173"/>
      <c r="B145" s="333"/>
      <c r="C145" s="691"/>
      <c r="D145" s="691"/>
      <c r="E145" s="691"/>
      <c r="F145" s="691"/>
      <c r="G145" s="691"/>
      <c r="H145" s="691"/>
      <c r="I145" s="691"/>
      <c r="J145" s="691"/>
      <c r="K145" s="691"/>
      <c r="L145" s="692"/>
      <c r="M145" s="692"/>
      <c r="N145" s="692"/>
      <c r="O145" s="691">
        <f>+C145-(SUM(D145:N145))</f>
        <v>0</v>
      </c>
      <c r="P145" s="325"/>
    </row>
    <row r="146" spans="1:16" s="88" customFormat="1" ht="12.75">
      <c r="A146" s="172"/>
      <c r="B146" s="336" t="s">
        <v>179</v>
      </c>
      <c r="C146" s="693">
        <f aca="true" t="shared" si="29" ref="C146:J146">SUM(C142:C145)</f>
        <v>0</v>
      </c>
      <c r="D146" s="693">
        <f t="shared" si="29"/>
        <v>0</v>
      </c>
      <c r="E146" s="693">
        <f t="shared" si="29"/>
        <v>0</v>
      </c>
      <c r="F146" s="693">
        <f t="shared" si="29"/>
        <v>0</v>
      </c>
      <c r="G146" s="693">
        <f t="shared" si="29"/>
        <v>0</v>
      </c>
      <c r="H146" s="693">
        <f>SUM(H142:H145)</f>
        <v>0</v>
      </c>
      <c r="I146" s="693">
        <f>SUM(I142:I145)</f>
        <v>0</v>
      </c>
      <c r="J146" s="693">
        <f t="shared" si="29"/>
        <v>0</v>
      </c>
      <c r="K146" s="693">
        <f>SUM(K142:K145)</f>
        <v>0</v>
      </c>
      <c r="L146" s="693">
        <f>SUM(L142:L145)</f>
        <v>0</v>
      </c>
      <c r="M146" s="693">
        <f>SUM(M142:M145)</f>
        <v>0</v>
      </c>
      <c r="N146" s="693">
        <f>SUM(N142:N145)</f>
        <v>0</v>
      </c>
      <c r="O146" s="693">
        <f>+C146-(SUM(D146:N146))</f>
        <v>0</v>
      </c>
      <c r="P146" s="325"/>
    </row>
    <row r="147" spans="1:16" s="88" customFormat="1" ht="12.75">
      <c r="A147" s="173"/>
      <c r="B147" s="333" t="s">
        <v>9</v>
      </c>
      <c r="C147" s="691"/>
      <c r="D147" s="691"/>
      <c r="E147" s="691"/>
      <c r="F147" s="691"/>
      <c r="G147" s="691"/>
      <c r="H147" s="691"/>
      <c r="I147" s="691"/>
      <c r="J147" s="691"/>
      <c r="K147" s="691"/>
      <c r="L147" s="691"/>
      <c r="M147" s="691"/>
      <c r="N147" s="691"/>
      <c r="O147" s="691"/>
      <c r="P147" s="325"/>
    </row>
    <row r="148" spans="1:16" s="88" customFormat="1" ht="12.75">
      <c r="A148" s="173"/>
      <c r="B148" s="351"/>
      <c r="C148" s="692"/>
      <c r="D148" s="692"/>
      <c r="E148" s="696"/>
      <c r="F148" s="696"/>
      <c r="G148" s="692"/>
      <c r="H148" s="692"/>
      <c r="I148" s="692"/>
      <c r="J148" s="692"/>
      <c r="K148" s="692"/>
      <c r="L148" s="692"/>
      <c r="M148" s="692"/>
      <c r="N148" s="692"/>
      <c r="O148" s="692">
        <f>+C148-(SUM(D148:N148))</f>
        <v>0</v>
      </c>
      <c r="P148" s="325"/>
    </row>
    <row r="149" spans="1:16" s="88" customFormat="1" ht="12.75">
      <c r="A149" s="173"/>
      <c r="B149" s="351"/>
      <c r="C149" s="692"/>
      <c r="D149" s="692"/>
      <c r="E149" s="696"/>
      <c r="F149" s="696"/>
      <c r="G149" s="692"/>
      <c r="H149" s="692"/>
      <c r="I149" s="692"/>
      <c r="J149" s="692"/>
      <c r="K149" s="692"/>
      <c r="L149" s="692"/>
      <c r="M149" s="692"/>
      <c r="N149" s="692"/>
      <c r="O149" s="692">
        <f>+C149-(SUM(D149:N149))</f>
        <v>0</v>
      </c>
      <c r="P149" s="325"/>
    </row>
    <row r="150" spans="1:16" s="88" customFormat="1" ht="12.75" hidden="1">
      <c r="A150" s="173"/>
      <c r="B150" s="333"/>
      <c r="C150" s="691"/>
      <c r="D150" s="691"/>
      <c r="E150" s="691"/>
      <c r="F150" s="691"/>
      <c r="G150" s="691"/>
      <c r="H150" s="691"/>
      <c r="I150" s="691"/>
      <c r="J150" s="691"/>
      <c r="K150" s="691"/>
      <c r="L150" s="692"/>
      <c r="M150" s="692"/>
      <c r="N150" s="692"/>
      <c r="O150" s="691">
        <f>+C150-(SUM(D150:N150))</f>
        <v>0</v>
      </c>
      <c r="P150" s="325"/>
    </row>
    <row r="151" spans="1:16" s="88" customFormat="1" ht="12.75">
      <c r="A151" s="172"/>
      <c r="B151" s="336" t="s">
        <v>179</v>
      </c>
      <c r="C151" s="693">
        <f aca="true" t="shared" si="30" ref="C151:J151">SUM(C147:C150)</f>
        <v>0</v>
      </c>
      <c r="D151" s="693">
        <f t="shared" si="30"/>
        <v>0</v>
      </c>
      <c r="E151" s="693">
        <f t="shared" si="30"/>
        <v>0</v>
      </c>
      <c r="F151" s="693">
        <f t="shared" si="30"/>
        <v>0</v>
      </c>
      <c r="G151" s="693">
        <f t="shared" si="30"/>
        <v>0</v>
      </c>
      <c r="H151" s="693">
        <f>SUM(H147:H150)</f>
        <v>0</v>
      </c>
      <c r="I151" s="693">
        <f>SUM(I147:I150)</f>
        <v>0</v>
      </c>
      <c r="J151" s="693">
        <f t="shared" si="30"/>
        <v>0</v>
      </c>
      <c r="K151" s="693">
        <f>SUM(K147:K150)</f>
        <v>0</v>
      </c>
      <c r="L151" s="693">
        <f>SUM(L147:L150)</f>
        <v>0</v>
      </c>
      <c r="M151" s="693">
        <f>SUM(M147:M150)</f>
        <v>0</v>
      </c>
      <c r="N151" s="693">
        <f>SUM(N147:N150)</f>
        <v>0</v>
      </c>
      <c r="O151" s="693">
        <f>+C151-(SUM(D151:N151))</f>
        <v>0</v>
      </c>
      <c r="P151" s="325"/>
    </row>
    <row r="152" spans="1:16" s="88" customFormat="1" ht="12.75">
      <c r="A152" s="173"/>
      <c r="B152" s="333" t="s">
        <v>139</v>
      </c>
      <c r="C152" s="691"/>
      <c r="D152" s="691"/>
      <c r="E152" s="691"/>
      <c r="F152" s="691"/>
      <c r="G152" s="691"/>
      <c r="H152" s="691"/>
      <c r="I152" s="691"/>
      <c r="J152" s="691"/>
      <c r="K152" s="691"/>
      <c r="L152" s="691"/>
      <c r="M152" s="691"/>
      <c r="N152" s="691"/>
      <c r="O152" s="691"/>
      <c r="P152" s="325"/>
    </row>
    <row r="153" spans="1:16" s="88" customFormat="1" ht="12.75">
      <c r="A153" s="173"/>
      <c r="B153" s="351"/>
      <c r="C153" s="692"/>
      <c r="D153" s="692"/>
      <c r="E153" s="696"/>
      <c r="F153" s="696"/>
      <c r="G153" s="692"/>
      <c r="H153" s="692"/>
      <c r="I153" s="692"/>
      <c r="J153" s="692"/>
      <c r="K153" s="692"/>
      <c r="L153" s="692"/>
      <c r="M153" s="692"/>
      <c r="N153" s="692"/>
      <c r="O153" s="692">
        <f>+C153-(SUM(D153:N153))</f>
        <v>0</v>
      </c>
      <c r="P153" s="325"/>
    </row>
    <row r="154" spans="1:16" s="88" customFormat="1" ht="12.75">
      <c r="A154" s="173"/>
      <c r="B154" s="355"/>
      <c r="C154" s="692"/>
      <c r="D154" s="692"/>
      <c r="E154" s="696"/>
      <c r="F154" s="696"/>
      <c r="G154" s="692"/>
      <c r="H154" s="692"/>
      <c r="I154" s="692"/>
      <c r="J154" s="692"/>
      <c r="K154" s="692"/>
      <c r="L154" s="692"/>
      <c r="M154" s="692"/>
      <c r="N154" s="692"/>
      <c r="O154" s="692">
        <f>+C154-(SUM(D154:N154))</f>
        <v>0</v>
      </c>
      <c r="P154" s="325"/>
    </row>
    <row r="155" spans="1:16" s="88" customFormat="1" ht="12.75" hidden="1">
      <c r="A155" s="173"/>
      <c r="B155" s="358"/>
      <c r="C155" s="691"/>
      <c r="D155" s="691"/>
      <c r="E155" s="691"/>
      <c r="F155" s="691"/>
      <c r="G155" s="691"/>
      <c r="H155" s="691"/>
      <c r="I155" s="691"/>
      <c r="J155" s="691"/>
      <c r="K155" s="691"/>
      <c r="L155" s="692"/>
      <c r="M155" s="692"/>
      <c r="N155" s="692"/>
      <c r="O155" s="691">
        <f>+C155-(SUM(D155:N155))</f>
        <v>0</v>
      </c>
      <c r="P155" s="325"/>
    </row>
    <row r="156" spans="1:16" s="88" customFormat="1" ht="12.75">
      <c r="A156" s="172"/>
      <c r="B156" s="336" t="s">
        <v>166</v>
      </c>
      <c r="C156" s="693">
        <f aca="true" t="shared" si="31" ref="C156:J156">SUM(C152:C155)</f>
        <v>0</v>
      </c>
      <c r="D156" s="693">
        <f t="shared" si="31"/>
        <v>0</v>
      </c>
      <c r="E156" s="693">
        <f t="shared" si="31"/>
        <v>0</v>
      </c>
      <c r="F156" s="693">
        <f t="shared" si="31"/>
        <v>0</v>
      </c>
      <c r="G156" s="693">
        <f t="shared" si="31"/>
        <v>0</v>
      </c>
      <c r="H156" s="693">
        <f>SUM(H152:H155)</f>
        <v>0</v>
      </c>
      <c r="I156" s="693">
        <f>SUM(I152:I155)</f>
        <v>0</v>
      </c>
      <c r="J156" s="693">
        <f t="shared" si="31"/>
        <v>0</v>
      </c>
      <c r="K156" s="693">
        <f>SUM(K152:K155)</f>
        <v>0</v>
      </c>
      <c r="L156" s="693">
        <f>SUM(L152:L155)</f>
        <v>0</v>
      </c>
      <c r="M156" s="693">
        <f>SUM(M152:M155)</f>
        <v>0</v>
      </c>
      <c r="N156" s="693">
        <f>SUM(N152:N155)</f>
        <v>0</v>
      </c>
      <c r="O156" s="693">
        <f>+C156-(SUM(D156:N156))</f>
        <v>0</v>
      </c>
      <c r="P156" s="325"/>
    </row>
    <row r="157" spans="1:16" s="88" customFormat="1" ht="12.75">
      <c r="A157" s="172"/>
      <c r="B157" s="359" t="s">
        <v>168</v>
      </c>
      <c r="C157" s="691"/>
      <c r="D157" s="691"/>
      <c r="E157" s="691"/>
      <c r="F157" s="691"/>
      <c r="G157" s="691"/>
      <c r="H157" s="691"/>
      <c r="I157" s="691"/>
      <c r="J157" s="691"/>
      <c r="K157" s="691"/>
      <c r="L157" s="691"/>
      <c r="M157" s="691"/>
      <c r="N157" s="691"/>
      <c r="O157" s="691"/>
      <c r="P157" s="325"/>
    </row>
    <row r="158" spans="1:16" s="88" customFormat="1" ht="12.75">
      <c r="A158" s="172"/>
      <c r="B158" s="351"/>
      <c r="C158" s="692"/>
      <c r="D158" s="692"/>
      <c r="E158" s="696"/>
      <c r="F158" s="696"/>
      <c r="G158" s="692"/>
      <c r="H158" s="692"/>
      <c r="I158" s="692"/>
      <c r="J158" s="692"/>
      <c r="K158" s="692"/>
      <c r="L158" s="692"/>
      <c r="M158" s="692"/>
      <c r="N158" s="692"/>
      <c r="O158" s="692">
        <f>+C158-(SUM(D158:N158))</f>
        <v>0</v>
      </c>
      <c r="P158" s="325"/>
    </row>
    <row r="159" spans="1:16" s="88" customFormat="1" ht="12.75">
      <c r="A159" s="172"/>
      <c r="B159" s="340"/>
      <c r="C159" s="692"/>
      <c r="D159" s="692"/>
      <c r="E159" s="696"/>
      <c r="F159" s="696"/>
      <c r="G159" s="692"/>
      <c r="H159" s="692"/>
      <c r="I159" s="692"/>
      <c r="J159" s="692"/>
      <c r="K159" s="692"/>
      <c r="L159" s="692"/>
      <c r="M159" s="692"/>
      <c r="N159" s="692"/>
      <c r="O159" s="692">
        <f>+C159-(SUM(D159:N159))</f>
        <v>0</v>
      </c>
      <c r="P159" s="325"/>
    </row>
    <row r="160" spans="1:16" s="88" customFormat="1" ht="12.75" hidden="1">
      <c r="A160" s="173"/>
      <c r="B160" s="358"/>
      <c r="C160" s="691"/>
      <c r="D160" s="691"/>
      <c r="E160" s="691"/>
      <c r="F160" s="691"/>
      <c r="G160" s="691"/>
      <c r="H160" s="691"/>
      <c r="I160" s="691"/>
      <c r="J160" s="691"/>
      <c r="K160" s="691"/>
      <c r="L160" s="692"/>
      <c r="M160" s="692"/>
      <c r="N160" s="692"/>
      <c r="O160" s="691">
        <f>+C160-(SUM(D160:N160))</f>
        <v>0</v>
      </c>
      <c r="P160" s="325"/>
    </row>
    <row r="161" spans="1:16" s="88" customFormat="1" ht="12.75">
      <c r="A161" s="172"/>
      <c r="B161" s="336" t="s">
        <v>167</v>
      </c>
      <c r="C161" s="693">
        <f aca="true" t="shared" si="32" ref="C161:J161">SUM(C157:C160)</f>
        <v>0</v>
      </c>
      <c r="D161" s="693">
        <f t="shared" si="32"/>
        <v>0</v>
      </c>
      <c r="E161" s="693">
        <f t="shared" si="32"/>
        <v>0</v>
      </c>
      <c r="F161" s="693">
        <f t="shared" si="32"/>
        <v>0</v>
      </c>
      <c r="G161" s="693">
        <f t="shared" si="32"/>
        <v>0</v>
      </c>
      <c r="H161" s="693">
        <f>SUM(H157:H160)</f>
        <v>0</v>
      </c>
      <c r="I161" s="693">
        <f>SUM(I157:I160)</f>
        <v>0</v>
      </c>
      <c r="J161" s="693">
        <f t="shared" si="32"/>
        <v>0</v>
      </c>
      <c r="K161" s="693">
        <f>SUM(K157:K160)</f>
        <v>0</v>
      </c>
      <c r="L161" s="693">
        <f>SUM(L157:L160)</f>
        <v>0</v>
      </c>
      <c r="M161" s="693">
        <f>SUM(M157:M160)</f>
        <v>0</v>
      </c>
      <c r="N161" s="693">
        <f>SUM(N157:N160)</f>
        <v>0</v>
      </c>
      <c r="O161" s="693">
        <f>+C161-(SUM(D161:N161))</f>
        <v>0</v>
      </c>
      <c r="P161" s="325"/>
    </row>
    <row r="162" spans="1:16" s="88" customFormat="1" ht="12.75">
      <c r="A162" s="173"/>
      <c r="B162" s="350" t="s">
        <v>169</v>
      </c>
      <c r="C162" s="694">
        <f aca="true" t="shared" si="33" ref="C162:J162">SUM(C161,C156,C151,C146,C141,C136,C131,C126,C121)</f>
        <v>0</v>
      </c>
      <c r="D162" s="694">
        <f>SUM(D161,D156,D151,D146,D141,D136,D131,D126,D121)</f>
        <v>0</v>
      </c>
      <c r="E162" s="694">
        <f t="shared" si="33"/>
        <v>0</v>
      </c>
      <c r="F162" s="694">
        <f t="shared" si="33"/>
        <v>0</v>
      </c>
      <c r="G162" s="694">
        <f t="shared" si="33"/>
        <v>0</v>
      </c>
      <c r="H162" s="694">
        <f>SUM(H161,H156,H151,H146,H141,H136,H131,H126,H121)</f>
        <v>0</v>
      </c>
      <c r="I162" s="694">
        <f>SUM(I161,I156,I151,I146,I141,I136,I131,I126,I121)</f>
        <v>0</v>
      </c>
      <c r="J162" s="694">
        <f t="shared" si="33"/>
        <v>0</v>
      </c>
      <c r="K162" s="694">
        <f>SUM(K161,K156,K151,K146,K141,K136,K131,K126,K121)</f>
        <v>0</v>
      </c>
      <c r="L162" s="694">
        <f>SUM(L161,L156,L151,L146,L141,L136,L131,L126,L121)</f>
        <v>0</v>
      </c>
      <c r="M162" s="694">
        <f>SUM(M161,M156,M151,M146,M141,M136,M131,M126,M121)</f>
        <v>0</v>
      </c>
      <c r="N162" s="694">
        <f>SUM(N161,N156,N151,N146,N141,N136,N131,N126,N121)</f>
        <v>0</v>
      </c>
      <c r="O162" s="694">
        <f>+C162-(SUM(D162:N162))</f>
        <v>0</v>
      </c>
      <c r="P162" s="325"/>
    </row>
    <row r="163" spans="1:16" s="88" customFormat="1" ht="12.75">
      <c r="A163" s="174"/>
      <c r="B163" s="780" t="s">
        <v>236</v>
      </c>
      <c r="C163" s="781"/>
      <c r="D163" s="781"/>
      <c r="E163" s="781"/>
      <c r="F163" s="781"/>
      <c r="G163" s="781"/>
      <c r="H163" s="781"/>
      <c r="I163" s="781"/>
      <c r="J163" s="781"/>
      <c r="K163" s="302"/>
      <c r="L163" s="302"/>
      <c r="M163" s="302"/>
      <c r="N163" s="302"/>
      <c r="O163" s="303"/>
      <c r="P163" s="325"/>
    </row>
    <row r="164" spans="1:16" s="88" customFormat="1" ht="12.75">
      <c r="A164" s="172"/>
      <c r="B164" s="333" t="s">
        <v>27</v>
      </c>
      <c r="C164" s="691"/>
      <c r="D164" s="691"/>
      <c r="E164" s="691"/>
      <c r="F164" s="691"/>
      <c r="G164" s="691"/>
      <c r="H164" s="691"/>
      <c r="I164" s="691"/>
      <c r="J164" s="691"/>
      <c r="K164" s="691"/>
      <c r="L164" s="691"/>
      <c r="M164" s="691"/>
      <c r="N164" s="691"/>
      <c r="O164" s="691"/>
      <c r="P164" s="325"/>
    </row>
    <row r="165" spans="1:16" s="88" customFormat="1" ht="12.75">
      <c r="A165" s="172"/>
      <c r="B165" s="351"/>
      <c r="C165" s="692"/>
      <c r="D165" s="692"/>
      <c r="E165" s="696"/>
      <c r="F165" s="696"/>
      <c r="G165" s="692"/>
      <c r="H165" s="692"/>
      <c r="I165" s="692"/>
      <c r="J165" s="692"/>
      <c r="K165" s="692"/>
      <c r="L165" s="692"/>
      <c r="M165" s="692"/>
      <c r="N165" s="692"/>
      <c r="O165" s="692">
        <f>+C165-(SUM(D165:N165))</f>
        <v>0</v>
      </c>
      <c r="P165" s="325"/>
    </row>
    <row r="166" spans="1:16" s="88" customFormat="1" ht="12.75">
      <c r="A166" s="172"/>
      <c r="B166" s="351"/>
      <c r="C166" s="692"/>
      <c r="D166" s="692"/>
      <c r="E166" s="696"/>
      <c r="F166" s="696"/>
      <c r="G166" s="692"/>
      <c r="H166" s="692"/>
      <c r="I166" s="692"/>
      <c r="J166" s="692"/>
      <c r="K166" s="692"/>
      <c r="L166" s="692"/>
      <c r="M166" s="692"/>
      <c r="N166" s="692"/>
      <c r="O166" s="692">
        <f>+C166-(SUM(D166:N166))</f>
        <v>0</v>
      </c>
      <c r="P166" s="325"/>
    </row>
    <row r="167" spans="1:16" s="88" customFormat="1" ht="12.75" hidden="1">
      <c r="A167" s="172"/>
      <c r="B167" s="333"/>
      <c r="C167" s="691"/>
      <c r="D167" s="691"/>
      <c r="E167" s="691"/>
      <c r="F167" s="691"/>
      <c r="G167" s="691"/>
      <c r="H167" s="691"/>
      <c r="I167" s="691"/>
      <c r="J167" s="691"/>
      <c r="K167" s="691"/>
      <c r="L167" s="692"/>
      <c r="M167" s="692"/>
      <c r="N167" s="692"/>
      <c r="O167" s="691">
        <f>+C167-(SUM(D167:N167))</f>
        <v>0</v>
      </c>
      <c r="P167" s="325"/>
    </row>
    <row r="168" spans="1:16" s="88" customFormat="1" ht="12.75">
      <c r="A168" s="172"/>
      <c r="B168" s="336" t="s">
        <v>180</v>
      </c>
      <c r="C168" s="693">
        <f aca="true" t="shared" si="34" ref="C168:J168">SUM(C164:C167)</f>
        <v>0</v>
      </c>
      <c r="D168" s="693">
        <f t="shared" si="34"/>
        <v>0</v>
      </c>
      <c r="E168" s="693">
        <f t="shared" si="34"/>
        <v>0</v>
      </c>
      <c r="F168" s="693">
        <f t="shared" si="34"/>
        <v>0</v>
      </c>
      <c r="G168" s="693">
        <f t="shared" si="34"/>
        <v>0</v>
      </c>
      <c r="H168" s="693">
        <f>SUM(H164:H167)</f>
        <v>0</v>
      </c>
      <c r="I168" s="693">
        <f>SUM(I164:I167)</f>
        <v>0</v>
      </c>
      <c r="J168" s="693">
        <f t="shared" si="34"/>
        <v>0</v>
      </c>
      <c r="K168" s="693">
        <f>SUM(K164:K167)</f>
        <v>0</v>
      </c>
      <c r="L168" s="693">
        <f>SUM(L164:L167)</f>
        <v>0</v>
      </c>
      <c r="M168" s="693">
        <f>SUM(M164:M167)</f>
        <v>0</v>
      </c>
      <c r="N168" s="693">
        <f>SUM(N164:N167)</f>
        <v>0</v>
      </c>
      <c r="O168" s="693">
        <f>+C168-(SUM(D168:N168))</f>
        <v>0</v>
      </c>
      <c r="P168" s="325"/>
    </row>
    <row r="169" spans="1:16" s="88" customFormat="1" ht="12.75">
      <c r="A169" s="173"/>
      <c r="B169" s="333" t="s">
        <v>22</v>
      </c>
      <c r="C169" s="691"/>
      <c r="D169" s="691"/>
      <c r="E169" s="691"/>
      <c r="F169" s="691"/>
      <c r="G169" s="691"/>
      <c r="H169" s="691"/>
      <c r="I169" s="691"/>
      <c r="J169" s="691"/>
      <c r="K169" s="691"/>
      <c r="L169" s="691"/>
      <c r="M169" s="691"/>
      <c r="N169" s="691"/>
      <c r="O169" s="691"/>
      <c r="P169" s="325"/>
    </row>
    <row r="170" spans="1:16" s="88" customFormat="1" ht="12.75">
      <c r="A170" s="173"/>
      <c r="B170" s="351"/>
      <c r="C170" s="692"/>
      <c r="D170" s="692"/>
      <c r="E170" s="696"/>
      <c r="F170" s="696"/>
      <c r="G170" s="692"/>
      <c r="H170" s="692"/>
      <c r="I170" s="692"/>
      <c r="J170" s="692"/>
      <c r="K170" s="692"/>
      <c r="L170" s="692"/>
      <c r="M170" s="692"/>
      <c r="N170" s="692"/>
      <c r="O170" s="692">
        <f>+C170-(SUM(D170:N170))</f>
        <v>0</v>
      </c>
      <c r="P170" s="325"/>
    </row>
    <row r="171" spans="1:16" s="88" customFormat="1" ht="12.75">
      <c r="A171" s="173"/>
      <c r="B171" s="351"/>
      <c r="C171" s="692"/>
      <c r="D171" s="692"/>
      <c r="E171" s="696"/>
      <c r="F171" s="696"/>
      <c r="G171" s="692"/>
      <c r="H171" s="692"/>
      <c r="I171" s="692"/>
      <c r="J171" s="692"/>
      <c r="K171" s="692"/>
      <c r="L171" s="692"/>
      <c r="M171" s="692"/>
      <c r="N171" s="692"/>
      <c r="O171" s="692">
        <f>+C171-(SUM(D171:N171))</f>
        <v>0</v>
      </c>
      <c r="P171" s="325"/>
    </row>
    <row r="172" spans="1:16" s="88" customFormat="1" ht="12.75" hidden="1">
      <c r="A172" s="173"/>
      <c r="B172" s="333"/>
      <c r="C172" s="691"/>
      <c r="D172" s="691"/>
      <c r="E172" s="691"/>
      <c r="F172" s="691"/>
      <c r="G172" s="691"/>
      <c r="H172" s="691"/>
      <c r="I172" s="691"/>
      <c r="J172" s="691"/>
      <c r="K172" s="691"/>
      <c r="L172" s="692"/>
      <c r="M172" s="692"/>
      <c r="N172" s="692"/>
      <c r="O172" s="691">
        <f>+C172-(SUM(D172:N172))</f>
        <v>0</v>
      </c>
      <c r="P172" s="325"/>
    </row>
    <row r="173" spans="1:16" s="88" customFormat="1" ht="12.75">
      <c r="A173" s="172"/>
      <c r="B173" s="336" t="s">
        <v>181</v>
      </c>
      <c r="C173" s="693">
        <f aca="true" t="shared" si="35" ref="C173:J173">SUM(C169:C172)</f>
        <v>0</v>
      </c>
      <c r="D173" s="693">
        <f t="shared" si="35"/>
        <v>0</v>
      </c>
      <c r="E173" s="693">
        <f t="shared" si="35"/>
        <v>0</v>
      </c>
      <c r="F173" s="693">
        <f t="shared" si="35"/>
        <v>0</v>
      </c>
      <c r="G173" s="693">
        <f t="shared" si="35"/>
        <v>0</v>
      </c>
      <c r="H173" s="693">
        <f>SUM(H169:H172)</f>
        <v>0</v>
      </c>
      <c r="I173" s="693">
        <f>SUM(I169:I172)</f>
        <v>0</v>
      </c>
      <c r="J173" s="693">
        <f t="shared" si="35"/>
        <v>0</v>
      </c>
      <c r="K173" s="693">
        <f>SUM(K169:K172)</f>
        <v>0</v>
      </c>
      <c r="L173" s="693">
        <f>SUM(L169:L172)</f>
        <v>0</v>
      </c>
      <c r="M173" s="693">
        <f>SUM(M169:M172)</f>
        <v>0</v>
      </c>
      <c r="N173" s="693">
        <f>SUM(N169:N172)</f>
        <v>0</v>
      </c>
      <c r="O173" s="693">
        <f>+C173-(SUM(D173:N173))</f>
        <v>0</v>
      </c>
      <c r="P173" s="325"/>
    </row>
    <row r="174" spans="1:16" s="88" customFormat="1" ht="12.75">
      <c r="A174" s="173"/>
      <c r="B174" s="333" t="s">
        <v>23</v>
      </c>
      <c r="C174" s="691"/>
      <c r="D174" s="691"/>
      <c r="E174" s="691"/>
      <c r="F174" s="691"/>
      <c r="G174" s="691"/>
      <c r="H174" s="691"/>
      <c r="I174" s="691"/>
      <c r="J174" s="691"/>
      <c r="K174" s="691"/>
      <c r="L174" s="691"/>
      <c r="M174" s="691"/>
      <c r="N174" s="691"/>
      <c r="O174" s="691"/>
      <c r="P174" s="325"/>
    </row>
    <row r="175" spans="1:16" s="88" customFormat="1" ht="12.75">
      <c r="A175" s="173"/>
      <c r="B175" s="351"/>
      <c r="C175" s="692"/>
      <c r="D175" s="692"/>
      <c r="E175" s="696"/>
      <c r="F175" s="696"/>
      <c r="G175" s="692"/>
      <c r="H175" s="692"/>
      <c r="I175" s="692"/>
      <c r="J175" s="692"/>
      <c r="K175" s="692"/>
      <c r="L175" s="692"/>
      <c r="M175" s="692"/>
      <c r="N175" s="692"/>
      <c r="O175" s="692">
        <f>+C175-(SUM(D175:N175))</f>
        <v>0</v>
      </c>
      <c r="P175" s="325"/>
    </row>
    <row r="176" spans="1:16" s="88" customFormat="1" ht="12.75">
      <c r="A176" s="173"/>
      <c r="B176" s="351"/>
      <c r="C176" s="692"/>
      <c r="D176" s="692"/>
      <c r="E176" s="696"/>
      <c r="F176" s="696"/>
      <c r="G176" s="692"/>
      <c r="H176" s="692"/>
      <c r="I176" s="692"/>
      <c r="J176" s="692"/>
      <c r="K176" s="692"/>
      <c r="L176" s="692"/>
      <c r="M176" s="692"/>
      <c r="N176" s="692"/>
      <c r="O176" s="692">
        <f>+C176-(SUM(D176:N176))</f>
        <v>0</v>
      </c>
      <c r="P176" s="325"/>
    </row>
    <row r="177" spans="1:16" s="88" customFormat="1" ht="12.75" hidden="1">
      <c r="A177" s="173"/>
      <c r="B177" s="333"/>
      <c r="C177" s="691"/>
      <c r="D177" s="691"/>
      <c r="E177" s="691"/>
      <c r="F177" s="691"/>
      <c r="G177" s="691"/>
      <c r="H177" s="691"/>
      <c r="I177" s="691"/>
      <c r="J177" s="691"/>
      <c r="K177" s="691"/>
      <c r="L177" s="692"/>
      <c r="M177" s="692"/>
      <c r="N177" s="692"/>
      <c r="O177" s="691">
        <f>+C177-(SUM(D177:N177))</f>
        <v>0</v>
      </c>
      <c r="P177" s="325"/>
    </row>
    <row r="178" spans="1:16" s="88" customFormat="1" ht="12.75">
      <c r="A178" s="172"/>
      <c r="B178" s="336" t="s">
        <v>182</v>
      </c>
      <c r="C178" s="693">
        <f aca="true" t="shared" si="36" ref="C178:J178">SUM(C174:C177)</f>
        <v>0</v>
      </c>
      <c r="D178" s="693">
        <f t="shared" si="36"/>
        <v>0</v>
      </c>
      <c r="E178" s="693">
        <f t="shared" si="36"/>
        <v>0</v>
      </c>
      <c r="F178" s="693">
        <f t="shared" si="36"/>
        <v>0</v>
      </c>
      <c r="G178" s="693">
        <f t="shared" si="36"/>
        <v>0</v>
      </c>
      <c r="H178" s="693">
        <f>SUM(H174:H177)</f>
        <v>0</v>
      </c>
      <c r="I178" s="693">
        <f>SUM(I174:I177)</f>
        <v>0</v>
      </c>
      <c r="J178" s="693">
        <f t="shared" si="36"/>
        <v>0</v>
      </c>
      <c r="K178" s="693">
        <f>SUM(K174:K177)</f>
        <v>0</v>
      </c>
      <c r="L178" s="693">
        <f>SUM(L174:L177)</f>
        <v>0</v>
      </c>
      <c r="M178" s="693">
        <f>SUM(M174:M177)</f>
        <v>0</v>
      </c>
      <c r="N178" s="693">
        <f>SUM(N174:N177)</f>
        <v>0</v>
      </c>
      <c r="O178" s="693">
        <f>+C178-(SUM(D178:N178))</f>
        <v>0</v>
      </c>
      <c r="P178" s="325"/>
    </row>
    <row r="179" spans="1:16" s="88" customFormat="1" ht="12.75">
      <c r="A179" s="173"/>
      <c r="B179" s="333" t="s">
        <v>230</v>
      </c>
      <c r="C179" s="691"/>
      <c r="D179" s="691"/>
      <c r="E179" s="691"/>
      <c r="F179" s="691"/>
      <c r="G179" s="691"/>
      <c r="H179" s="691"/>
      <c r="I179" s="691"/>
      <c r="J179" s="691"/>
      <c r="K179" s="691"/>
      <c r="L179" s="691"/>
      <c r="M179" s="691"/>
      <c r="N179" s="691"/>
      <c r="O179" s="691"/>
      <c r="P179" s="325"/>
    </row>
    <row r="180" spans="1:16" s="88" customFormat="1" ht="12.75">
      <c r="A180" s="173"/>
      <c r="B180" s="351"/>
      <c r="C180" s="692"/>
      <c r="D180" s="692"/>
      <c r="E180" s="696"/>
      <c r="F180" s="696"/>
      <c r="G180" s="692"/>
      <c r="H180" s="692"/>
      <c r="I180" s="692"/>
      <c r="J180" s="692"/>
      <c r="K180" s="692"/>
      <c r="L180" s="692"/>
      <c r="M180" s="692"/>
      <c r="N180" s="692"/>
      <c r="O180" s="692">
        <f>+C180-(SUM(D180:N180))</f>
        <v>0</v>
      </c>
      <c r="P180" s="325"/>
    </row>
    <row r="181" spans="1:16" s="88" customFormat="1" ht="12.75">
      <c r="A181" s="173"/>
      <c r="B181" s="355"/>
      <c r="C181" s="692"/>
      <c r="D181" s="692"/>
      <c r="E181" s="696"/>
      <c r="F181" s="696"/>
      <c r="G181" s="692"/>
      <c r="H181" s="692"/>
      <c r="I181" s="692"/>
      <c r="J181" s="692"/>
      <c r="K181" s="692"/>
      <c r="L181" s="692"/>
      <c r="M181" s="692"/>
      <c r="N181" s="692"/>
      <c r="O181" s="692">
        <f>+C181-(SUM(D181:N181))</f>
        <v>0</v>
      </c>
      <c r="P181" s="325"/>
    </row>
    <row r="182" spans="1:16" s="88" customFormat="1" ht="12.75" hidden="1">
      <c r="A182" s="173"/>
      <c r="B182" s="358"/>
      <c r="C182" s="691"/>
      <c r="D182" s="691"/>
      <c r="E182" s="691"/>
      <c r="F182" s="691"/>
      <c r="G182" s="691"/>
      <c r="H182" s="691"/>
      <c r="I182" s="691"/>
      <c r="J182" s="691"/>
      <c r="K182" s="691"/>
      <c r="L182" s="692"/>
      <c r="M182" s="692"/>
      <c r="N182" s="692"/>
      <c r="O182" s="691">
        <f>+C182-(SUM(D182:N182))</f>
        <v>0</v>
      </c>
      <c r="P182" s="325"/>
    </row>
    <row r="183" spans="1:16" s="88" customFormat="1" ht="12.75">
      <c r="A183" s="172"/>
      <c r="B183" s="336" t="s">
        <v>166</v>
      </c>
      <c r="C183" s="693">
        <f aca="true" t="shared" si="37" ref="C183:J183">SUM(C179:C182)</f>
        <v>0</v>
      </c>
      <c r="D183" s="693">
        <f t="shared" si="37"/>
        <v>0</v>
      </c>
      <c r="E183" s="693">
        <f t="shared" si="37"/>
        <v>0</v>
      </c>
      <c r="F183" s="693">
        <f t="shared" si="37"/>
        <v>0</v>
      </c>
      <c r="G183" s="693">
        <f t="shared" si="37"/>
        <v>0</v>
      </c>
      <c r="H183" s="693">
        <f>SUM(H179:H182)</f>
        <v>0</v>
      </c>
      <c r="I183" s="693">
        <f>SUM(I179:I182)</f>
        <v>0</v>
      </c>
      <c r="J183" s="693">
        <f t="shared" si="37"/>
        <v>0</v>
      </c>
      <c r="K183" s="693">
        <f>SUM(K179:K182)</f>
        <v>0</v>
      </c>
      <c r="L183" s="693">
        <f>SUM(L179:L182)</f>
        <v>0</v>
      </c>
      <c r="M183" s="693">
        <f>SUM(M179:M182)</f>
        <v>0</v>
      </c>
      <c r="N183" s="693">
        <f>SUM(N179:N182)</f>
        <v>0</v>
      </c>
      <c r="O183" s="693">
        <f>+C183-(SUM(D183:N183))</f>
        <v>0</v>
      </c>
      <c r="P183" s="325"/>
    </row>
    <row r="184" spans="1:16" s="88" customFormat="1" ht="12.75">
      <c r="A184" s="173"/>
      <c r="B184" s="333" t="s">
        <v>138</v>
      </c>
      <c r="C184" s="691"/>
      <c r="D184" s="691"/>
      <c r="E184" s="691"/>
      <c r="F184" s="691"/>
      <c r="G184" s="691"/>
      <c r="H184" s="691"/>
      <c r="I184" s="691"/>
      <c r="J184" s="691"/>
      <c r="K184" s="691"/>
      <c r="L184" s="691"/>
      <c r="M184" s="691"/>
      <c r="N184" s="691"/>
      <c r="O184" s="691"/>
      <c r="P184" s="325"/>
    </row>
    <row r="185" spans="1:16" s="88" customFormat="1" ht="12.75">
      <c r="A185" s="173"/>
      <c r="B185" s="351"/>
      <c r="C185" s="692"/>
      <c r="D185" s="692"/>
      <c r="E185" s="696"/>
      <c r="F185" s="696"/>
      <c r="G185" s="692"/>
      <c r="H185" s="692"/>
      <c r="I185" s="692"/>
      <c r="J185" s="692"/>
      <c r="K185" s="692"/>
      <c r="L185" s="692"/>
      <c r="M185" s="692"/>
      <c r="N185" s="692"/>
      <c r="O185" s="692">
        <f>+C185-(SUM(D185:N185))</f>
        <v>0</v>
      </c>
      <c r="P185" s="325"/>
    </row>
    <row r="186" spans="1:16" s="88" customFormat="1" ht="12.75">
      <c r="A186" s="173"/>
      <c r="B186" s="355"/>
      <c r="C186" s="692"/>
      <c r="D186" s="692"/>
      <c r="E186" s="696"/>
      <c r="F186" s="696"/>
      <c r="G186" s="692"/>
      <c r="H186" s="692"/>
      <c r="I186" s="692"/>
      <c r="J186" s="692"/>
      <c r="K186" s="692"/>
      <c r="L186" s="692"/>
      <c r="M186" s="692"/>
      <c r="N186" s="692"/>
      <c r="O186" s="692">
        <f>+C186-(SUM(D186:N186))</f>
        <v>0</v>
      </c>
      <c r="P186" s="325"/>
    </row>
    <row r="187" spans="1:16" s="88" customFormat="1" ht="12.75" hidden="1">
      <c r="A187" s="173"/>
      <c r="B187" s="358"/>
      <c r="C187" s="691"/>
      <c r="D187" s="691"/>
      <c r="E187" s="691"/>
      <c r="F187" s="691"/>
      <c r="G187" s="691"/>
      <c r="H187" s="691"/>
      <c r="I187" s="691"/>
      <c r="J187" s="691"/>
      <c r="K187" s="691"/>
      <c r="L187" s="692"/>
      <c r="M187" s="692"/>
      <c r="N187" s="692"/>
      <c r="O187" s="691">
        <f>+C187-(SUM(D187:N187))</f>
        <v>0</v>
      </c>
      <c r="P187" s="325"/>
    </row>
    <row r="188" spans="1:16" s="88" customFormat="1" ht="12.75">
      <c r="A188" s="172"/>
      <c r="B188" s="336" t="s">
        <v>165</v>
      </c>
      <c r="C188" s="693">
        <f aca="true" t="shared" si="38" ref="C188:J188">SUM(C184:C187)</f>
        <v>0</v>
      </c>
      <c r="D188" s="693">
        <f t="shared" si="38"/>
        <v>0</v>
      </c>
      <c r="E188" s="693">
        <f t="shared" si="38"/>
        <v>0</v>
      </c>
      <c r="F188" s="693">
        <f t="shared" si="38"/>
        <v>0</v>
      </c>
      <c r="G188" s="693">
        <f t="shared" si="38"/>
        <v>0</v>
      </c>
      <c r="H188" s="693">
        <f>SUM(H184:H187)</f>
        <v>0</v>
      </c>
      <c r="I188" s="693">
        <f>SUM(I184:I187)</f>
        <v>0</v>
      </c>
      <c r="J188" s="693">
        <f t="shared" si="38"/>
        <v>0</v>
      </c>
      <c r="K188" s="693">
        <f>SUM(K184:K187)</f>
        <v>0</v>
      </c>
      <c r="L188" s="693">
        <f>SUM(L184:L187)</f>
        <v>0</v>
      </c>
      <c r="M188" s="693">
        <f>SUM(M184:M187)</f>
        <v>0</v>
      </c>
      <c r="N188" s="693">
        <f>SUM(N184:N187)</f>
        <v>0</v>
      </c>
      <c r="O188" s="693">
        <f>+C188-(SUM(D188:N188))</f>
        <v>0</v>
      </c>
      <c r="P188" s="325"/>
    </row>
    <row r="189" spans="1:16" s="88" customFormat="1" ht="12.75">
      <c r="A189" s="173"/>
      <c r="B189" s="333" t="s">
        <v>229</v>
      </c>
      <c r="C189" s="691"/>
      <c r="D189" s="691"/>
      <c r="E189" s="691"/>
      <c r="F189" s="691"/>
      <c r="G189" s="691"/>
      <c r="H189" s="691"/>
      <c r="I189" s="691"/>
      <c r="J189" s="691"/>
      <c r="K189" s="691"/>
      <c r="L189" s="691"/>
      <c r="M189" s="691"/>
      <c r="N189" s="691"/>
      <c r="O189" s="691"/>
      <c r="P189" s="325"/>
    </row>
    <row r="190" spans="1:16" s="88" customFormat="1" ht="12.75">
      <c r="A190" s="173"/>
      <c r="B190" s="355"/>
      <c r="C190" s="692"/>
      <c r="D190" s="692"/>
      <c r="E190" s="696"/>
      <c r="F190" s="696"/>
      <c r="G190" s="692"/>
      <c r="H190" s="692"/>
      <c r="I190" s="692"/>
      <c r="J190" s="692"/>
      <c r="K190" s="692"/>
      <c r="L190" s="692"/>
      <c r="M190" s="692"/>
      <c r="N190" s="692"/>
      <c r="O190" s="692">
        <f>+C190-(SUM(D190:N190))</f>
        <v>0</v>
      </c>
      <c r="P190" s="325"/>
    </row>
    <row r="191" spans="1:16" s="88" customFormat="1" ht="12.75">
      <c r="A191" s="173"/>
      <c r="B191" s="355"/>
      <c r="C191" s="692"/>
      <c r="D191" s="692"/>
      <c r="E191" s="696"/>
      <c r="F191" s="696"/>
      <c r="G191" s="692"/>
      <c r="H191" s="692"/>
      <c r="I191" s="692"/>
      <c r="J191" s="692"/>
      <c r="K191" s="692"/>
      <c r="L191" s="692"/>
      <c r="M191" s="692"/>
      <c r="N191" s="692"/>
      <c r="O191" s="692">
        <f>+C191-(SUM(D191:N191))</f>
        <v>0</v>
      </c>
      <c r="P191" s="325"/>
    </row>
    <row r="192" spans="1:16" s="88" customFormat="1" ht="12.75" hidden="1">
      <c r="A192" s="173"/>
      <c r="B192" s="358"/>
      <c r="C192" s="691"/>
      <c r="D192" s="691"/>
      <c r="E192" s="691"/>
      <c r="F192" s="691"/>
      <c r="G192" s="691"/>
      <c r="H192" s="691"/>
      <c r="I192" s="691"/>
      <c r="J192" s="691"/>
      <c r="K192" s="691"/>
      <c r="L192" s="692"/>
      <c r="M192" s="692"/>
      <c r="N192" s="692"/>
      <c r="O192" s="691">
        <f>+C192-(SUM(D192:N192))</f>
        <v>0</v>
      </c>
      <c r="P192" s="325"/>
    </row>
    <row r="193" spans="1:16" s="88" customFormat="1" ht="12.75">
      <c r="A193" s="172"/>
      <c r="B193" s="336" t="s">
        <v>160</v>
      </c>
      <c r="C193" s="693">
        <f aca="true" t="shared" si="39" ref="C193:J193">SUM(C189:C192)</f>
        <v>0</v>
      </c>
      <c r="D193" s="693">
        <f t="shared" si="39"/>
        <v>0</v>
      </c>
      <c r="E193" s="693">
        <f t="shared" si="39"/>
        <v>0</v>
      </c>
      <c r="F193" s="693">
        <f t="shared" si="39"/>
        <v>0</v>
      </c>
      <c r="G193" s="693">
        <f t="shared" si="39"/>
        <v>0</v>
      </c>
      <c r="H193" s="693">
        <f>SUM(H189:H192)</f>
        <v>0</v>
      </c>
      <c r="I193" s="693">
        <f>SUM(I189:I192)</f>
        <v>0</v>
      </c>
      <c r="J193" s="693">
        <f t="shared" si="39"/>
        <v>0</v>
      </c>
      <c r="K193" s="693">
        <f>SUM(K189:K192)</f>
        <v>0</v>
      </c>
      <c r="L193" s="693">
        <f>SUM(L189:L192)</f>
        <v>0</v>
      </c>
      <c r="M193" s="693">
        <f>SUM(M189:M192)</f>
        <v>0</v>
      </c>
      <c r="N193" s="693">
        <f>SUM(N189:N192)</f>
        <v>0</v>
      </c>
      <c r="O193" s="693">
        <f>+C193-(SUM(D193:N193))</f>
        <v>0</v>
      </c>
      <c r="P193" s="325"/>
    </row>
    <row r="194" spans="1:16" s="88" customFormat="1" ht="12.75">
      <c r="A194" s="173"/>
      <c r="B194" s="333" t="s">
        <v>4</v>
      </c>
      <c r="C194" s="691"/>
      <c r="D194" s="691"/>
      <c r="E194" s="691"/>
      <c r="F194" s="691"/>
      <c r="G194" s="691"/>
      <c r="H194" s="691"/>
      <c r="I194" s="691"/>
      <c r="J194" s="691"/>
      <c r="K194" s="691"/>
      <c r="L194" s="691"/>
      <c r="M194" s="691"/>
      <c r="N194" s="691"/>
      <c r="O194" s="691"/>
      <c r="P194" s="325"/>
    </row>
    <row r="195" spans="1:16" s="88" customFormat="1" ht="12.75">
      <c r="A195" s="173"/>
      <c r="B195" s="355"/>
      <c r="C195" s="692"/>
      <c r="D195" s="692"/>
      <c r="E195" s="696"/>
      <c r="F195" s="696"/>
      <c r="G195" s="692"/>
      <c r="H195" s="692"/>
      <c r="I195" s="692"/>
      <c r="J195" s="692"/>
      <c r="K195" s="692"/>
      <c r="L195" s="692"/>
      <c r="M195" s="692"/>
      <c r="N195" s="692"/>
      <c r="O195" s="692">
        <f>+C195-(SUM(D195:N195))</f>
        <v>0</v>
      </c>
      <c r="P195" s="325"/>
    </row>
    <row r="196" spans="1:16" s="88" customFormat="1" ht="12.75">
      <c r="A196" s="173"/>
      <c r="B196" s="355"/>
      <c r="C196" s="692"/>
      <c r="D196" s="692"/>
      <c r="E196" s="696"/>
      <c r="F196" s="696"/>
      <c r="G196" s="692"/>
      <c r="H196" s="692"/>
      <c r="I196" s="692"/>
      <c r="J196" s="692"/>
      <c r="K196" s="692"/>
      <c r="L196" s="692"/>
      <c r="M196" s="692"/>
      <c r="N196" s="692"/>
      <c r="O196" s="692">
        <f>+C196-(SUM(D196:N196))</f>
        <v>0</v>
      </c>
      <c r="P196" s="325"/>
    </row>
    <row r="197" spans="1:16" s="88" customFormat="1" ht="12.75" hidden="1">
      <c r="A197" s="173"/>
      <c r="B197" s="358"/>
      <c r="C197" s="691"/>
      <c r="D197" s="691"/>
      <c r="E197" s="691"/>
      <c r="F197" s="691"/>
      <c r="G197" s="691"/>
      <c r="H197" s="691"/>
      <c r="I197" s="691"/>
      <c r="J197" s="691"/>
      <c r="K197" s="691"/>
      <c r="L197" s="692"/>
      <c r="M197" s="692"/>
      <c r="N197" s="692"/>
      <c r="O197" s="691">
        <f>+C197-(SUM(D197:N197))</f>
        <v>0</v>
      </c>
      <c r="P197" s="325"/>
    </row>
    <row r="198" spans="1:16" s="88" customFormat="1" ht="12.75">
      <c r="A198" s="172"/>
      <c r="B198" s="336" t="s">
        <v>161</v>
      </c>
      <c r="C198" s="693">
        <f aca="true" t="shared" si="40" ref="C198:J198">SUM(C194:C197)</f>
        <v>0</v>
      </c>
      <c r="D198" s="693">
        <f t="shared" si="40"/>
        <v>0</v>
      </c>
      <c r="E198" s="693">
        <f t="shared" si="40"/>
        <v>0</v>
      </c>
      <c r="F198" s="693">
        <f t="shared" si="40"/>
        <v>0</v>
      </c>
      <c r="G198" s="693">
        <f t="shared" si="40"/>
        <v>0</v>
      </c>
      <c r="H198" s="693">
        <f>SUM(H194:H197)</f>
        <v>0</v>
      </c>
      <c r="I198" s="693">
        <f>SUM(I194:I197)</f>
        <v>0</v>
      </c>
      <c r="J198" s="693">
        <f t="shared" si="40"/>
        <v>0</v>
      </c>
      <c r="K198" s="693">
        <f>SUM(K194:K197)</f>
        <v>0</v>
      </c>
      <c r="L198" s="693">
        <f>SUM(L194:L197)</f>
        <v>0</v>
      </c>
      <c r="M198" s="693">
        <f>SUM(M194:M197)</f>
        <v>0</v>
      </c>
      <c r="N198" s="693">
        <f>SUM(N194:N197)</f>
        <v>0</v>
      </c>
      <c r="O198" s="693">
        <f>+C198-(SUM(D198:N198))</f>
        <v>0</v>
      </c>
      <c r="P198" s="325"/>
    </row>
    <row r="199" spans="1:16" s="88" customFormat="1" ht="12.75">
      <c r="A199" s="173"/>
      <c r="B199" s="333" t="s">
        <v>29</v>
      </c>
      <c r="C199" s="691"/>
      <c r="D199" s="691"/>
      <c r="E199" s="691"/>
      <c r="F199" s="691"/>
      <c r="G199" s="691"/>
      <c r="H199" s="691"/>
      <c r="I199" s="691"/>
      <c r="J199" s="691"/>
      <c r="K199" s="691"/>
      <c r="L199" s="691"/>
      <c r="M199" s="691"/>
      <c r="N199" s="691"/>
      <c r="O199" s="691"/>
      <c r="P199" s="325"/>
    </row>
    <row r="200" spans="1:16" s="88" customFormat="1" ht="12.75">
      <c r="A200" s="173"/>
      <c r="B200" s="351"/>
      <c r="C200" s="692"/>
      <c r="D200" s="692"/>
      <c r="E200" s="696"/>
      <c r="F200" s="696"/>
      <c r="G200" s="692"/>
      <c r="H200" s="692"/>
      <c r="I200" s="692"/>
      <c r="J200" s="692"/>
      <c r="K200" s="692"/>
      <c r="L200" s="692"/>
      <c r="M200" s="692"/>
      <c r="N200" s="692"/>
      <c r="O200" s="692">
        <f>+C200-(SUM(D200:N200))</f>
        <v>0</v>
      </c>
      <c r="P200" s="325"/>
    </row>
    <row r="201" spans="1:16" s="88" customFormat="1" ht="12.75">
      <c r="A201" s="173"/>
      <c r="B201" s="355"/>
      <c r="C201" s="692"/>
      <c r="D201" s="692"/>
      <c r="E201" s="696"/>
      <c r="F201" s="696"/>
      <c r="G201" s="692"/>
      <c r="H201" s="692"/>
      <c r="I201" s="692"/>
      <c r="J201" s="692"/>
      <c r="K201" s="692"/>
      <c r="L201" s="692"/>
      <c r="M201" s="692"/>
      <c r="N201" s="692"/>
      <c r="O201" s="692">
        <f>+C201-(SUM(D201:N201))</f>
        <v>0</v>
      </c>
      <c r="P201" s="325"/>
    </row>
    <row r="202" spans="1:16" s="88" customFormat="1" ht="12.75" hidden="1">
      <c r="A202" s="173"/>
      <c r="B202" s="358"/>
      <c r="C202" s="691"/>
      <c r="D202" s="691"/>
      <c r="E202" s="691"/>
      <c r="F202" s="691"/>
      <c r="G202" s="691"/>
      <c r="H202" s="691"/>
      <c r="I202" s="691"/>
      <c r="J202" s="691"/>
      <c r="K202" s="691"/>
      <c r="L202" s="692"/>
      <c r="M202" s="692"/>
      <c r="N202" s="692"/>
      <c r="O202" s="691">
        <f>+C202-(SUM(D202:N202))</f>
        <v>0</v>
      </c>
      <c r="P202" s="325"/>
    </row>
    <row r="203" spans="1:16" s="88" customFormat="1" ht="12.75">
      <c r="A203" s="172"/>
      <c r="B203" s="336" t="s">
        <v>171</v>
      </c>
      <c r="C203" s="693">
        <f aca="true" t="shared" si="41" ref="C203:J203">SUM(C199:C202)</f>
        <v>0</v>
      </c>
      <c r="D203" s="693">
        <f t="shared" si="41"/>
        <v>0</v>
      </c>
      <c r="E203" s="693">
        <f t="shared" si="41"/>
        <v>0</v>
      </c>
      <c r="F203" s="693">
        <f t="shared" si="41"/>
        <v>0</v>
      </c>
      <c r="G203" s="693">
        <f t="shared" si="41"/>
        <v>0</v>
      </c>
      <c r="H203" s="693">
        <f>SUM(H199:H202)</f>
        <v>0</v>
      </c>
      <c r="I203" s="693">
        <f>SUM(I199:I202)</f>
        <v>0</v>
      </c>
      <c r="J203" s="693">
        <f t="shared" si="41"/>
        <v>0</v>
      </c>
      <c r="K203" s="693">
        <f>SUM(K199:K202)</f>
        <v>0</v>
      </c>
      <c r="L203" s="693">
        <f>SUM(L199:L202)</f>
        <v>0</v>
      </c>
      <c r="M203" s="693">
        <f>SUM(M199:M202)</f>
        <v>0</v>
      </c>
      <c r="N203" s="693">
        <f>SUM(N199:N202)</f>
        <v>0</v>
      </c>
      <c r="O203" s="693">
        <f>+C203-(SUM(D203:N203))</f>
        <v>0</v>
      </c>
      <c r="P203" s="325"/>
    </row>
    <row r="204" spans="1:16" s="88" customFormat="1" ht="12.75">
      <c r="A204" s="173"/>
      <c r="B204" s="350" t="s">
        <v>172</v>
      </c>
      <c r="C204" s="694">
        <f aca="true" t="shared" si="42" ref="C204:J204">SUM(C203,C198,C193,C188,C183,C178,C173,C168)</f>
        <v>0</v>
      </c>
      <c r="D204" s="694">
        <f t="shared" si="42"/>
        <v>0</v>
      </c>
      <c r="E204" s="694">
        <f t="shared" si="42"/>
        <v>0</v>
      </c>
      <c r="F204" s="694">
        <f t="shared" si="42"/>
        <v>0</v>
      </c>
      <c r="G204" s="694">
        <f t="shared" si="42"/>
        <v>0</v>
      </c>
      <c r="H204" s="694">
        <f>SUM(H203,H198,H193,H188,H183,H178,H173,H168)</f>
        <v>0</v>
      </c>
      <c r="I204" s="694">
        <f>SUM(I203,I198,I193,I188,I183,I178,I173,I168)</f>
        <v>0</v>
      </c>
      <c r="J204" s="694">
        <f t="shared" si="42"/>
        <v>0</v>
      </c>
      <c r="K204" s="694">
        <f>SUM(K203,K198,K193,K188,K183,K178,K173,K168)</f>
        <v>0</v>
      </c>
      <c r="L204" s="694">
        <f>SUM(L203,L198,L193,L188,L183,L178,L173,L168)</f>
        <v>0</v>
      </c>
      <c r="M204" s="694">
        <f>SUM(M203,M198,M193,M188,M183,M178,M173,M168)</f>
        <v>0</v>
      </c>
      <c r="N204" s="694">
        <f>SUM(N203,N198,N193,N188,N183,N178,N173,N168)</f>
        <v>0</v>
      </c>
      <c r="O204" s="694">
        <f>+C204-(SUM(D204:N204))</f>
        <v>0</v>
      </c>
      <c r="P204" s="325"/>
    </row>
    <row r="205" spans="1:16" s="88" customFormat="1" ht="12.75">
      <c r="A205" s="174"/>
      <c r="B205" s="780" t="s">
        <v>237</v>
      </c>
      <c r="C205" s="781"/>
      <c r="D205" s="781"/>
      <c r="E205" s="781"/>
      <c r="F205" s="781"/>
      <c r="G205" s="781"/>
      <c r="H205" s="781"/>
      <c r="I205" s="781"/>
      <c r="J205" s="781"/>
      <c r="K205" s="302"/>
      <c r="L205" s="302"/>
      <c r="M205" s="302"/>
      <c r="N205" s="302"/>
      <c r="O205" s="303"/>
      <c r="P205" s="325"/>
    </row>
    <row r="206" spans="1:16" s="88" customFormat="1" ht="12.75">
      <c r="A206" s="172"/>
      <c r="B206" s="333" t="s">
        <v>18</v>
      </c>
      <c r="C206" s="691"/>
      <c r="D206" s="691"/>
      <c r="E206" s="691"/>
      <c r="F206" s="691"/>
      <c r="G206" s="691"/>
      <c r="H206" s="691"/>
      <c r="I206" s="691"/>
      <c r="J206" s="691"/>
      <c r="K206" s="691"/>
      <c r="L206" s="691"/>
      <c r="M206" s="691"/>
      <c r="N206" s="691"/>
      <c r="O206" s="691"/>
      <c r="P206" s="325"/>
    </row>
    <row r="207" spans="1:16" s="88" customFormat="1" ht="12.75">
      <c r="A207" s="172"/>
      <c r="B207" s="340"/>
      <c r="C207" s="692"/>
      <c r="D207" s="692"/>
      <c r="E207" s="696"/>
      <c r="F207" s="696"/>
      <c r="G207" s="692"/>
      <c r="H207" s="692"/>
      <c r="I207" s="692"/>
      <c r="J207" s="692"/>
      <c r="K207" s="692"/>
      <c r="L207" s="692"/>
      <c r="M207" s="692"/>
      <c r="N207" s="692"/>
      <c r="O207" s="692">
        <f>+C207-(SUM(D207:N207))</f>
        <v>0</v>
      </c>
      <c r="P207" s="325"/>
    </row>
    <row r="208" spans="1:16" s="88" customFormat="1" ht="12.75">
      <c r="A208" s="172"/>
      <c r="B208" s="340"/>
      <c r="C208" s="692"/>
      <c r="D208" s="692"/>
      <c r="E208" s="696"/>
      <c r="F208" s="696"/>
      <c r="G208" s="692"/>
      <c r="H208" s="692"/>
      <c r="I208" s="692"/>
      <c r="J208" s="692"/>
      <c r="K208" s="692"/>
      <c r="L208" s="692"/>
      <c r="M208" s="692"/>
      <c r="N208" s="692"/>
      <c r="O208" s="692">
        <f>+C208-(SUM(D208:N208))</f>
        <v>0</v>
      </c>
      <c r="P208" s="325"/>
    </row>
    <row r="209" spans="1:16" s="88" customFormat="1" ht="12.75" hidden="1">
      <c r="A209" s="172"/>
      <c r="B209" s="357"/>
      <c r="C209" s="691"/>
      <c r="D209" s="691"/>
      <c r="E209" s="691"/>
      <c r="F209" s="691"/>
      <c r="G209" s="691"/>
      <c r="H209" s="691"/>
      <c r="I209" s="691"/>
      <c r="J209" s="691"/>
      <c r="K209" s="691"/>
      <c r="L209" s="692"/>
      <c r="M209" s="692"/>
      <c r="N209" s="692"/>
      <c r="O209" s="691">
        <f>+C209-(SUM(D209:N209))</f>
        <v>0</v>
      </c>
      <c r="P209" s="325"/>
    </row>
    <row r="210" spans="1:16" s="88" customFormat="1" ht="12.75">
      <c r="A210" s="172"/>
      <c r="B210" s="336" t="s">
        <v>183</v>
      </c>
      <c r="C210" s="693">
        <f aca="true" t="shared" si="43" ref="C210:J210">SUM(C206:C209)</f>
        <v>0</v>
      </c>
      <c r="D210" s="693">
        <f t="shared" si="43"/>
        <v>0</v>
      </c>
      <c r="E210" s="693">
        <f t="shared" si="43"/>
        <v>0</v>
      </c>
      <c r="F210" s="693">
        <f t="shared" si="43"/>
        <v>0</v>
      </c>
      <c r="G210" s="693">
        <f t="shared" si="43"/>
        <v>0</v>
      </c>
      <c r="H210" s="693">
        <f>SUM(H206:H209)</f>
        <v>0</v>
      </c>
      <c r="I210" s="693">
        <f>SUM(I206:I209)</f>
        <v>0</v>
      </c>
      <c r="J210" s="693">
        <f t="shared" si="43"/>
        <v>0</v>
      </c>
      <c r="K210" s="693">
        <f>SUM(K206:K209)</f>
        <v>0</v>
      </c>
      <c r="L210" s="693">
        <f>SUM(L206:L209)</f>
        <v>0</v>
      </c>
      <c r="M210" s="693">
        <f>SUM(M206:M209)</f>
        <v>0</v>
      </c>
      <c r="N210" s="693">
        <f>SUM(N206:N209)</f>
        <v>0</v>
      </c>
      <c r="O210" s="693">
        <f>+C210-(SUM(D210:N210))</f>
        <v>0</v>
      </c>
      <c r="P210" s="325"/>
    </row>
    <row r="211" spans="1:16" s="88" customFormat="1" ht="12.75">
      <c r="A211" s="173"/>
      <c r="B211" s="333" t="s">
        <v>10</v>
      </c>
      <c r="C211" s="691"/>
      <c r="D211" s="691"/>
      <c r="E211" s="691"/>
      <c r="F211" s="691"/>
      <c r="G211" s="691"/>
      <c r="H211" s="691"/>
      <c r="I211" s="691"/>
      <c r="J211" s="691"/>
      <c r="K211" s="691"/>
      <c r="L211" s="691"/>
      <c r="M211" s="691"/>
      <c r="N211" s="691"/>
      <c r="O211" s="691"/>
      <c r="P211" s="325"/>
    </row>
    <row r="212" spans="1:16" s="88" customFormat="1" ht="12.75">
      <c r="A212" s="173"/>
      <c r="B212" s="729"/>
      <c r="C212" s="692"/>
      <c r="D212" s="692"/>
      <c r="E212" s="696"/>
      <c r="F212" s="696"/>
      <c r="G212" s="692"/>
      <c r="H212" s="692"/>
      <c r="I212" s="692"/>
      <c r="J212" s="692"/>
      <c r="K212" s="692"/>
      <c r="L212" s="692"/>
      <c r="M212" s="692"/>
      <c r="N212" s="692"/>
      <c r="O212" s="692">
        <f>+C212-(SUM(D212:N212))</f>
        <v>0</v>
      </c>
      <c r="P212" s="325"/>
    </row>
    <row r="213" spans="1:16" s="88" customFormat="1" ht="12.75">
      <c r="A213" s="173"/>
      <c r="B213" s="729"/>
      <c r="C213" s="692"/>
      <c r="D213" s="692"/>
      <c r="E213" s="696"/>
      <c r="F213" s="696"/>
      <c r="G213" s="692"/>
      <c r="H213" s="692"/>
      <c r="I213" s="692"/>
      <c r="J213" s="692"/>
      <c r="K213" s="692"/>
      <c r="L213" s="692"/>
      <c r="M213" s="692"/>
      <c r="N213" s="692"/>
      <c r="O213" s="692">
        <f>+C213-(SUM(D213:N213))</f>
        <v>0</v>
      </c>
      <c r="P213" s="325"/>
    </row>
    <row r="214" spans="1:16" s="88" customFormat="1" ht="12.75" hidden="1">
      <c r="A214" s="173"/>
      <c r="B214" s="358"/>
      <c r="C214" s="691"/>
      <c r="D214" s="691"/>
      <c r="E214" s="691"/>
      <c r="F214" s="691"/>
      <c r="G214" s="691"/>
      <c r="H214" s="691"/>
      <c r="I214" s="691"/>
      <c r="J214" s="691"/>
      <c r="K214" s="691"/>
      <c r="L214" s="692"/>
      <c r="M214" s="692"/>
      <c r="N214" s="692"/>
      <c r="O214" s="691">
        <f>+C214-(SUM(D214:N214))</f>
        <v>0</v>
      </c>
      <c r="P214" s="325"/>
    </row>
    <row r="215" spans="1:16" s="88" customFormat="1" ht="12.75">
      <c r="A215" s="172"/>
      <c r="B215" s="336" t="s">
        <v>184</v>
      </c>
      <c r="C215" s="693">
        <f aca="true" t="shared" si="44" ref="C215:J215">SUM(C211:C214)</f>
        <v>0</v>
      </c>
      <c r="D215" s="693">
        <f t="shared" si="44"/>
        <v>0</v>
      </c>
      <c r="E215" s="693">
        <f t="shared" si="44"/>
        <v>0</v>
      </c>
      <c r="F215" s="693">
        <f t="shared" si="44"/>
        <v>0</v>
      </c>
      <c r="G215" s="693">
        <f t="shared" si="44"/>
        <v>0</v>
      </c>
      <c r="H215" s="693">
        <f>SUM(H211:H214)</f>
        <v>0</v>
      </c>
      <c r="I215" s="693">
        <f>SUM(I211:I214)</f>
        <v>0</v>
      </c>
      <c r="J215" s="693">
        <f t="shared" si="44"/>
        <v>0</v>
      </c>
      <c r="K215" s="693">
        <f>SUM(K211:K214)</f>
        <v>0</v>
      </c>
      <c r="L215" s="693">
        <f>SUM(L211:L214)</f>
        <v>0</v>
      </c>
      <c r="M215" s="693">
        <f>SUM(M211:M214)</f>
        <v>0</v>
      </c>
      <c r="N215" s="693">
        <f>SUM(N211:N214)</f>
        <v>0</v>
      </c>
      <c r="O215" s="693">
        <f>+C215-(SUM(D215:N215))</f>
        <v>0</v>
      </c>
      <c r="P215" s="325"/>
    </row>
    <row r="216" spans="1:16" s="88" customFormat="1" ht="12.75">
      <c r="A216" s="173"/>
      <c r="B216" s="333" t="s">
        <v>11</v>
      </c>
      <c r="C216" s="691"/>
      <c r="D216" s="691"/>
      <c r="E216" s="691"/>
      <c r="F216" s="691"/>
      <c r="G216" s="691"/>
      <c r="H216" s="691"/>
      <c r="I216" s="691"/>
      <c r="J216" s="691"/>
      <c r="K216" s="691"/>
      <c r="L216" s="691"/>
      <c r="M216" s="691"/>
      <c r="N216" s="691"/>
      <c r="O216" s="691"/>
      <c r="P216" s="325"/>
    </row>
    <row r="217" spans="1:16" s="88" customFormat="1" ht="12.75">
      <c r="A217" s="173"/>
      <c r="B217" s="355"/>
      <c r="C217" s="692"/>
      <c r="D217" s="692"/>
      <c r="E217" s="696"/>
      <c r="F217" s="696"/>
      <c r="G217" s="692"/>
      <c r="H217" s="692"/>
      <c r="I217" s="692"/>
      <c r="J217" s="692"/>
      <c r="K217" s="692"/>
      <c r="L217" s="692"/>
      <c r="M217" s="692"/>
      <c r="N217" s="692"/>
      <c r="O217" s="692">
        <f>+C217-(SUM(D217:N217))</f>
        <v>0</v>
      </c>
      <c r="P217" s="325"/>
    </row>
    <row r="218" spans="1:16" s="88" customFormat="1" ht="12.75">
      <c r="A218" s="173"/>
      <c r="B218" s="355"/>
      <c r="C218" s="692"/>
      <c r="D218" s="692"/>
      <c r="E218" s="696"/>
      <c r="F218" s="696"/>
      <c r="G218" s="692"/>
      <c r="H218" s="692"/>
      <c r="I218" s="692"/>
      <c r="J218" s="692"/>
      <c r="K218" s="692"/>
      <c r="L218" s="692"/>
      <c r="M218" s="692"/>
      <c r="N218" s="692"/>
      <c r="O218" s="692">
        <f>+C218-(SUM(D218:N218))</f>
        <v>0</v>
      </c>
      <c r="P218" s="325"/>
    </row>
    <row r="219" spans="1:16" s="88" customFormat="1" ht="12.75" hidden="1">
      <c r="A219" s="173"/>
      <c r="B219" s="358"/>
      <c r="C219" s="691"/>
      <c r="D219" s="691"/>
      <c r="E219" s="691"/>
      <c r="F219" s="691"/>
      <c r="G219" s="691"/>
      <c r="H219" s="691"/>
      <c r="I219" s="691"/>
      <c r="J219" s="691"/>
      <c r="K219" s="691"/>
      <c r="L219" s="692"/>
      <c r="M219" s="692"/>
      <c r="N219" s="692"/>
      <c r="O219" s="691">
        <f>+C219-(SUM(D219:N219))</f>
        <v>0</v>
      </c>
      <c r="P219" s="325"/>
    </row>
    <row r="220" spans="1:16" s="88" customFormat="1" ht="12.75">
      <c r="A220" s="172"/>
      <c r="B220" s="336" t="s">
        <v>185</v>
      </c>
      <c r="C220" s="693">
        <f aca="true" t="shared" si="45" ref="C220:J220">SUM(C216:C219)</f>
        <v>0</v>
      </c>
      <c r="D220" s="693">
        <f t="shared" si="45"/>
        <v>0</v>
      </c>
      <c r="E220" s="693">
        <f t="shared" si="45"/>
        <v>0</v>
      </c>
      <c r="F220" s="693">
        <f t="shared" si="45"/>
        <v>0</v>
      </c>
      <c r="G220" s="693">
        <f t="shared" si="45"/>
        <v>0</v>
      </c>
      <c r="H220" s="693">
        <f>SUM(H216:H219)</f>
        <v>0</v>
      </c>
      <c r="I220" s="693">
        <f>SUM(I216:I219)</f>
        <v>0</v>
      </c>
      <c r="J220" s="693">
        <f t="shared" si="45"/>
        <v>0</v>
      </c>
      <c r="K220" s="693">
        <f>SUM(K216:K219)</f>
        <v>0</v>
      </c>
      <c r="L220" s="693">
        <f>SUM(L216:L219)</f>
        <v>0</v>
      </c>
      <c r="M220" s="693">
        <f>SUM(M216:M219)</f>
        <v>0</v>
      </c>
      <c r="N220" s="693">
        <f>SUM(N216:N219)</f>
        <v>0</v>
      </c>
      <c r="O220" s="693">
        <f>+C220-(SUM(D220:N220))</f>
        <v>0</v>
      </c>
      <c r="P220" s="325"/>
    </row>
    <row r="221" spans="1:16" s="88" customFormat="1" ht="12.75">
      <c r="A221" s="173"/>
      <c r="B221" s="333" t="s">
        <v>12</v>
      </c>
      <c r="C221" s="691"/>
      <c r="D221" s="691"/>
      <c r="E221" s="691"/>
      <c r="F221" s="691"/>
      <c r="G221" s="691"/>
      <c r="H221" s="691"/>
      <c r="I221" s="691"/>
      <c r="J221" s="691"/>
      <c r="K221" s="691"/>
      <c r="L221" s="691"/>
      <c r="M221" s="691"/>
      <c r="N221" s="691"/>
      <c r="O221" s="691"/>
      <c r="P221" s="325"/>
    </row>
    <row r="222" spans="1:16" s="88" customFormat="1" ht="12.75">
      <c r="A222" s="173"/>
      <c r="B222" s="355"/>
      <c r="C222" s="692"/>
      <c r="D222" s="692"/>
      <c r="E222" s="696"/>
      <c r="F222" s="696"/>
      <c r="G222" s="692"/>
      <c r="H222" s="692"/>
      <c r="I222" s="692"/>
      <c r="J222" s="692"/>
      <c r="K222" s="692"/>
      <c r="L222" s="692"/>
      <c r="M222" s="692"/>
      <c r="N222" s="692"/>
      <c r="O222" s="692">
        <f>+C222-(SUM(D222:N222))</f>
        <v>0</v>
      </c>
      <c r="P222" s="325"/>
    </row>
    <row r="223" spans="1:16" s="88" customFormat="1" ht="12.75">
      <c r="A223" s="173"/>
      <c r="B223" s="355"/>
      <c r="C223" s="692"/>
      <c r="D223" s="692"/>
      <c r="E223" s="696"/>
      <c r="F223" s="696"/>
      <c r="G223" s="692"/>
      <c r="H223" s="692"/>
      <c r="I223" s="692"/>
      <c r="J223" s="692"/>
      <c r="K223" s="692"/>
      <c r="L223" s="692"/>
      <c r="M223" s="692"/>
      <c r="N223" s="692"/>
      <c r="O223" s="692">
        <f>+C223-(SUM(D223:N223))</f>
        <v>0</v>
      </c>
      <c r="P223" s="325"/>
    </row>
    <row r="224" spans="1:16" s="88" customFormat="1" ht="12.75" hidden="1">
      <c r="A224" s="173"/>
      <c r="B224" s="358"/>
      <c r="C224" s="691"/>
      <c r="D224" s="691"/>
      <c r="E224" s="691"/>
      <c r="F224" s="691"/>
      <c r="G224" s="691"/>
      <c r="H224" s="691"/>
      <c r="I224" s="691"/>
      <c r="J224" s="691"/>
      <c r="K224" s="691"/>
      <c r="L224" s="692"/>
      <c r="M224" s="692"/>
      <c r="N224" s="692"/>
      <c r="O224" s="691">
        <f>+C224-(SUM(D224:N224))</f>
        <v>0</v>
      </c>
      <c r="P224" s="325"/>
    </row>
    <row r="225" spans="1:16" s="88" customFormat="1" ht="12.75">
      <c r="A225" s="172"/>
      <c r="B225" s="336" t="s">
        <v>186</v>
      </c>
      <c r="C225" s="693">
        <f aca="true" t="shared" si="46" ref="C225:J225">SUM(C221:C224)</f>
        <v>0</v>
      </c>
      <c r="D225" s="693">
        <f t="shared" si="46"/>
        <v>0</v>
      </c>
      <c r="E225" s="693">
        <f t="shared" si="46"/>
        <v>0</v>
      </c>
      <c r="F225" s="693">
        <f t="shared" si="46"/>
        <v>0</v>
      </c>
      <c r="G225" s="693">
        <f t="shared" si="46"/>
        <v>0</v>
      </c>
      <c r="H225" s="693">
        <f>SUM(H221:H224)</f>
        <v>0</v>
      </c>
      <c r="I225" s="693">
        <f>SUM(I221:I224)</f>
        <v>0</v>
      </c>
      <c r="J225" s="693">
        <f t="shared" si="46"/>
        <v>0</v>
      </c>
      <c r="K225" s="693">
        <f>SUM(K221:K224)</f>
        <v>0</v>
      </c>
      <c r="L225" s="693">
        <f>SUM(L221:L224)</f>
        <v>0</v>
      </c>
      <c r="M225" s="693">
        <f>SUM(M221:M224)</f>
        <v>0</v>
      </c>
      <c r="N225" s="693">
        <f>SUM(N221:N224)</f>
        <v>0</v>
      </c>
      <c r="O225" s="693">
        <f>+C225-(SUM(D225:N225))</f>
        <v>0</v>
      </c>
      <c r="P225" s="325"/>
    </row>
    <row r="226" spans="1:16" s="88" customFormat="1" ht="12.75">
      <c r="A226" s="173"/>
      <c r="B226" s="333" t="s">
        <v>19</v>
      </c>
      <c r="C226" s="691"/>
      <c r="D226" s="691"/>
      <c r="E226" s="691"/>
      <c r="F226" s="691"/>
      <c r="G226" s="691"/>
      <c r="H226" s="691"/>
      <c r="I226" s="691"/>
      <c r="J226" s="691"/>
      <c r="K226" s="691"/>
      <c r="L226" s="691"/>
      <c r="M226" s="691"/>
      <c r="N226" s="691"/>
      <c r="O226" s="691"/>
      <c r="P226" s="325"/>
    </row>
    <row r="227" spans="1:16" s="88" customFormat="1" ht="12.75">
      <c r="A227" s="173"/>
      <c r="B227" s="355"/>
      <c r="C227" s="692"/>
      <c r="D227" s="692"/>
      <c r="E227" s="696"/>
      <c r="F227" s="696"/>
      <c r="G227" s="692"/>
      <c r="H227" s="692"/>
      <c r="I227" s="692"/>
      <c r="J227" s="692"/>
      <c r="K227" s="692"/>
      <c r="L227" s="692"/>
      <c r="M227" s="692"/>
      <c r="N227" s="692"/>
      <c r="O227" s="692">
        <f>+C227-(SUM(D227:N227))</f>
        <v>0</v>
      </c>
      <c r="P227" s="325"/>
    </row>
    <row r="228" spans="1:16" s="88" customFormat="1" ht="12.75">
      <c r="A228" s="173"/>
      <c r="B228" s="355"/>
      <c r="C228" s="692"/>
      <c r="D228" s="692"/>
      <c r="E228" s="696"/>
      <c r="F228" s="696"/>
      <c r="G228" s="692"/>
      <c r="H228" s="692"/>
      <c r="I228" s="692"/>
      <c r="J228" s="692"/>
      <c r="K228" s="692"/>
      <c r="L228" s="692"/>
      <c r="M228" s="692"/>
      <c r="N228" s="692"/>
      <c r="O228" s="692">
        <f>+C228-(SUM(D228:N228))</f>
        <v>0</v>
      </c>
      <c r="P228" s="325"/>
    </row>
    <row r="229" spans="1:16" s="88" customFormat="1" ht="12.75" hidden="1">
      <c r="A229" s="173"/>
      <c r="B229" s="358"/>
      <c r="C229" s="691"/>
      <c r="D229" s="691"/>
      <c r="E229" s="691"/>
      <c r="F229" s="691"/>
      <c r="G229" s="691"/>
      <c r="H229" s="691"/>
      <c r="I229" s="691"/>
      <c r="J229" s="691"/>
      <c r="K229" s="691"/>
      <c r="L229" s="692"/>
      <c r="M229" s="692"/>
      <c r="N229" s="692"/>
      <c r="O229" s="691">
        <f>+C229-(SUM(D229:N229))</f>
        <v>0</v>
      </c>
      <c r="P229" s="325"/>
    </row>
    <row r="230" spans="1:16" s="88" customFormat="1" ht="12.75">
      <c r="A230" s="172"/>
      <c r="B230" s="336" t="s">
        <v>187</v>
      </c>
      <c r="C230" s="693">
        <f aca="true" t="shared" si="47" ref="C230:J230">SUM(C226:C229)</f>
        <v>0</v>
      </c>
      <c r="D230" s="693">
        <f t="shared" si="47"/>
        <v>0</v>
      </c>
      <c r="E230" s="693">
        <f t="shared" si="47"/>
        <v>0</v>
      </c>
      <c r="F230" s="693">
        <f t="shared" si="47"/>
        <v>0</v>
      </c>
      <c r="G230" s="693">
        <f t="shared" si="47"/>
        <v>0</v>
      </c>
      <c r="H230" s="693">
        <f>SUM(H226:H229)</f>
        <v>0</v>
      </c>
      <c r="I230" s="693">
        <f>SUM(I226:I229)</f>
        <v>0</v>
      </c>
      <c r="J230" s="693">
        <f t="shared" si="47"/>
        <v>0</v>
      </c>
      <c r="K230" s="693">
        <f>SUM(K226:K229)</f>
        <v>0</v>
      </c>
      <c r="L230" s="693">
        <f>SUM(L226:L229)</f>
        <v>0</v>
      </c>
      <c r="M230" s="693">
        <f>SUM(M226:M229)</f>
        <v>0</v>
      </c>
      <c r="N230" s="693">
        <f>SUM(N226:N229)</f>
        <v>0</v>
      </c>
      <c r="O230" s="693">
        <f>+C230-(SUM(D230:N230))</f>
        <v>0</v>
      </c>
      <c r="P230" s="325"/>
    </row>
    <row r="231" spans="1:16" s="88" customFormat="1" ht="12.75">
      <c r="A231" s="173"/>
      <c r="B231" s="333" t="s">
        <v>13</v>
      </c>
      <c r="C231" s="691"/>
      <c r="D231" s="691"/>
      <c r="E231" s="691"/>
      <c r="F231" s="691"/>
      <c r="G231" s="691"/>
      <c r="H231" s="691"/>
      <c r="I231" s="691"/>
      <c r="J231" s="691"/>
      <c r="K231" s="691"/>
      <c r="L231" s="691"/>
      <c r="M231" s="691"/>
      <c r="N231" s="691"/>
      <c r="O231" s="691"/>
      <c r="P231" s="325"/>
    </row>
    <row r="232" spans="1:16" s="88" customFormat="1" ht="12.75">
      <c r="A232" s="173"/>
      <c r="B232" s="355"/>
      <c r="C232" s="692"/>
      <c r="D232" s="692"/>
      <c r="E232" s="696"/>
      <c r="F232" s="696"/>
      <c r="G232" s="692"/>
      <c r="H232" s="692"/>
      <c r="I232" s="692"/>
      <c r="J232" s="692"/>
      <c r="K232" s="692"/>
      <c r="L232" s="692"/>
      <c r="M232" s="692"/>
      <c r="N232" s="692"/>
      <c r="O232" s="692">
        <f>+C232-(SUM(D232:N232))</f>
        <v>0</v>
      </c>
      <c r="P232" s="325"/>
    </row>
    <row r="233" spans="1:16" s="88" customFormat="1" ht="12.75">
      <c r="A233" s="173"/>
      <c r="B233" s="355"/>
      <c r="C233" s="692"/>
      <c r="D233" s="692"/>
      <c r="E233" s="696"/>
      <c r="F233" s="696"/>
      <c r="G233" s="692"/>
      <c r="H233" s="692"/>
      <c r="I233" s="692"/>
      <c r="J233" s="692"/>
      <c r="K233" s="692"/>
      <c r="L233" s="692"/>
      <c r="M233" s="692"/>
      <c r="N233" s="692"/>
      <c r="O233" s="692">
        <f>+C233-(SUM(D233:N233))</f>
        <v>0</v>
      </c>
      <c r="P233" s="325"/>
    </row>
    <row r="234" spans="1:16" s="88" customFormat="1" ht="12.75" hidden="1">
      <c r="A234" s="173"/>
      <c r="B234" s="358"/>
      <c r="C234" s="691"/>
      <c r="D234" s="691"/>
      <c r="E234" s="691"/>
      <c r="F234" s="691"/>
      <c r="G234" s="691"/>
      <c r="H234" s="691"/>
      <c r="I234" s="691"/>
      <c r="J234" s="691"/>
      <c r="K234" s="691"/>
      <c r="L234" s="692"/>
      <c r="M234" s="692"/>
      <c r="N234" s="692"/>
      <c r="O234" s="691">
        <f>+C234-(SUM(D234:N234))</f>
        <v>0</v>
      </c>
      <c r="P234" s="325"/>
    </row>
    <row r="235" spans="1:16" s="88" customFormat="1" ht="12.75">
      <c r="A235" s="172"/>
      <c r="B235" s="336" t="s">
        <v>188</v>
      </c>
      <c r="C235" s="693">
        <f aca="true" t="shared" si="48" ref="C235:J235">SUM(C231:C234)</f>
        <v>0</v>
      </c>
      <c r="D235" s="693">
        <f t="shared" si="48"/>
        <v>0</v>
      </c>
      <c r="E235" s="693">
        <f t="shared" si="48"/>
        <v>0</v>
      </c>
      <c r="F235" s="693">
        <f t="shared" si="48"/>
        <v>0</v>
      </c>
      <c r="G235" s="693">
        <f t="shared" si="48"/>
        <v>0</v>
      </c>
      <c r="H235" s="693">
        <f>SUM(H231:H234)</f>
        <v>0</v>
      </c>
      <c r="I235" s="693">
        <f>SUM(I231:I234)</f>
        <v>0</v>
      </c>
      <c r="J235" s="693">
        <f t="shared" si="48"/>
        <v>0</v>
      </c>
      <c r="K235" s="693">
        <f>SUM(K231:K234)</f>
        <v>0</v>
      </c>
      <c r="L235" s="693">
        <f>SUM(L231:L234)</f>
        <v>0</v>
      </c>
      <c r="M235" s="693">
        <f>SUM(M231:M234)</f>
        <v>0</v>
      </c>
      <c r="N235" s="693">
        <f>SUM(N231:N234)</f>
        <v>0</v>
      </c>
      <c r="O235" s="693">
        <f>+C235-(SUM(D235:N235))</f>
        <v>0</v>
      </c>
      <c r="P235" s="325"/>
    </row>
    <row r="236" spans="1:16" s="88" customFormat="1" ht="12.75">
      <c r="A236" s="173"/>
      <c r="B236" s="333" t="s">
        <v>14</v>
      </c>
      <c r="C236" s="691"/>
      <c r="D236" s="691"/>
      <c r="E236" s="691"/>
      <c r="F236" s="691"/>
      <c r="G236" s="691"/>
      <c r="H236" s="691"/>
      <c r="I236" s="691"/>
      <c r="J236" s="691"/>
      <c r="K236" s="691"/>
      <c r="L236" s="691"/>
      <c r="M236" s="691"/>
      <c r="N236" s="691"/>
      <c r="O236" s="691"/>
      <c r="P236" s="325"/>
    </row>
    <row r="237" spans="1:16" s="88" customFormat="1" ht="12.75">
      <c r="A237" s="173"/>
      <c r="B237" s="355"/>
      <c r="C237" s="692"/>
      <c r="D237" s="692"/>
      <c r="E237" s="696"/>
      <c r="F237" s="696"/>
      <c r="G237" s="692"/>
      <c r="H237" s="692"/>
      <c r="I237" s="692"/>
      <c r="J237" s="692"/>
      <c r="K237" s="692"/>
      <c r="L237" s="692"/>
      <c r="M237" s="692"/>
      <c r="N237" s="692"/>
      <c r="O237" s="692">
        <f>+C237-(SUM(D237:N237))</f>
        <v>0</v>
      </c>
      <c r="P237" s="325"/>
    </row>
    <row r="238" spans="1:16" s="88" customFormat="1" ht="12.75">
      <c r="A238" s="173"/>
      <c r="B238" s="355"/>
      <c r="C238" s="692"/>
      <c r="D238" s="692"/>
      <c r="E238" s="696"/>
      <c r="F238" s="696"/>
      <c r="G238" s="692"/>
      <c r="H238" s="692"/>
      <c r="I238" s="692"/>
      <c r="J238" s="692"/>
      <c r="K238" s="692"/>
      <c r="L238" s="692"/>
      <c r="M238" s="692"/>
      <c r="N238" s="692"/>
      <c r="O238" s="692">
        <f>+C238-(SUM(D238:N238))</f>
        <v>0</v>
      </c>
      <c r="P238" s="325"/>
    </row>
    <row r="239" spans="1:16" s="88" customFormat="1" ht="12.75" hidden="1">
      <c r="A239" s="173"/>
      <c r="B239" s="358"/>
      <c r="C239" s="691"/>
      <c r="D239" s="691"/>
      <c r="E239" s="691"/>
      <c r="F239" s="691"/>
      <c r="G239" s="691"/>
      <c r="H239" s="691"/>
      <c r="I239" s="691"/>
      <c r="J239" s="691"/>
      <c r="K239" s="691"/>
      <c r="L239" s="692"/>
      <c r="M239" s="692"/>
      <c r="N239" s="692"/>
      <c r="O239" s="691">
        <f>+C239-(SUM(D239:N239))</f>
        <v>0</v>
      </c>
      <c r="P239" s="325"/>
    </row>
    <row r="240" spans="1:16" s="88" customFormat="1" ht="12.75">
      <c r="A240" s="172"/>
      <c r="B240" s="336" t="s">
        <v>189</v>
      </c>
      <c r="C240" s="693">
        <f aca="true" t="shared" si="49" ref="C240:J240">SUM(C236:C239)</f>
        <v>0</v>
      </c>
      <c r="D240" s="693">
        <f t="shared" si="49"/>
        <v>0</v>
      </c>
      <c r="E240" s="693">
        <f t="shared" si="49"/>
        <v>0</v>
      </c>
      <c r="F240" s="693">
        <f t="shared" si="49"/>
        <v>0</v>
      </c>
      <c r="G240" s="693">
        <f t="shared" si="49"/>
        <v>0</v>
      </c>
      <c r="H240" s="693">
        <f>SUM(H236:H239)</f>
        <v>0</v>
      </c>
      <c r="I240" s="693">
        <f>SUM(I236:I239)</f>
        <v>0</v>
      </c>
      <c r="J240" s="693">
        <f t="shared" si="49"/>
        <v>0</v>
      </c>
      <c r="K240" s="693">
        <f>SUM(K236:K239)</f>
        <v>0</v>
      </c>
      <c r="L240" s="693">
        <f>SUM(L236:L239)</f>
        <v>0</v>
      </c>
      <c r="M240" s="693">
        <f>SUM(M236:M239)</f>
        <v>0</v>
      </c>
      <c r="N240" s="693">
        <f>SUM(N236:N239)</f>
        <v>0</v>
      </c>
      <c r="O240" s="693">
        <f>+C240-(SUM(D240:N240))</f>
        <v>0</v>
      </c>
      <c r="P240" s="325"/>
    </row>
    <row r="241" spans="1:16" s="88" customFormat="1" ht="12.75">
      <c r="A241" s="173"/>
      <c r="B241" s="333" t="s">
        <v>15</v>
      </c>
      <c r="C241" s="691"/>
      <c r="D241" s="691"/>
      <c r="E241" s="691"/>
      <c r="F241" s="691"/>
      <c r="G241" s="691"/>
      <c r="H241" s="691"/>
      <c r="I241" s="691"/>
      <c r="J241" s="691"/>
      <c r="K241" s="691"/>
      <c r="L241" s="691"/>
      <c r="M241" s="691"/>
      <c r="N241" s="691"/>
      <c r="O241" s="691"/>
      <c r="P241" s="325"/>
    </row>
    <row r="242" spans="1:16" s="88" customFormat="1" ht="12.75">
      <c r="A242" s="173"/>
      <c r="B242" s="355"/>
      <c r="C242" s="692"/>
      <c r="D242" s="692"/>
      <c r="E242" s="696"/>
      <c r="F242" s="696"/>
      <c r="G242" s="692"/>
      <c r="H242" s="692"/>
      <c r="I242" s="692"/>
      <c r="J242" s="692"/>
      <c r="K242" s="692"/>
      <c r="L242" s="692"/>
      <c r="M242" s="692"/>
      <c r="N242" s="692"/>
      <c r="O242" s="692">
        <f>+C242-(SUM(D242:N242))</f>
        <v>0</v>
      </c>
      <c r="P242" s="325"/>
    </row>
    <row r="243" spans="1:16" s="88" customFormat="1" ht="12.75">
      <c r="A243" s="173"/>
      <c r="B243" s="355"/>
      <c r="C243" s="692"/>
      <c r="D243" s="692"/>
      <c r="E243" s="696"/>
      <c r="F243" s="696"/>
      <c r="G243" s="692"/>
      <c r="H243" s="692"/>
      <c r="I243" s="692"/>
      <c r="J243" s="692"/>
      <c r="K243" s="692"/>
      <c r="L243" s="692"/>
      <c r="M243" s="692"/>
      <c r="N243" s="692"/>
      <c r="O243" s="692">
        <f>+C243-(SUM(D243:N243))</f>
        <v>0</v>
      </c>
      <c r="P243" s="325"/>
    </row>
    <row r="244" spans="1:16" s="88" customFormat="1" ht="12.75" hidden="1">
      <c r="A244" s="173"/>
      <c r="B244" s="358"/>
      <c r="C244" s="691"/>
      <c r="D244" s="691"/>
      <c r="E244" s="691"/>
      <c r="F244" s="691"/>
      <c r="G244" s="691"/>
      <c r="H244" s="691"/>
      <c r="I244" s="691"/>
      <c r="J244" s="691"/>
      <c r="K244" s="691"/>
      <c r="L244" s="692"/>
      <c r="M244" s="692"/>
      <c r="N244" s="692"/>
      <c r="O244" s="691">
        <f>+C244-(SUM(D244:N244))</f>
        <v>0</v>
      </c>
      <c r="P244" s="325"/>
    </row>
    <row r="245" spans="1:16" s="88" customFormat="1" ht="12.75">
      <c r="A245" s="172"/>
      <c r="B245" s="336" t="s">
        <v>190</v>
      </c>
      <c r="C245" s="693">
        <f aca="true" t="shared" si="50" ref="C245:J245">SUM(C241:C244)</f>
        <v>0</v>
      </c>
      <c r="D245" s="693">
        <f t="shared" si="50"/>
        <v>0</v>
      </c>
      <c r="E245" s="693">
        <f t="shared" si="50"/>
        <v>0</v>
      </c>
      <c r="F245" s="693">
        <f t="shared" si="50"/>
        <v>0</v>
      </c>
      <c r="G245" s="693">
        <f t="shared" si="50"/>
        <v>0</v>
      </c>
      <c r="H245" s="693">
        <f>SUM(H241:H244)</f>
        <v>0</v>
      </c>
      <c r="I245" s="693">
        <f>SUM(I241:I244)</f>
        <v>0</v>
      </c>
      <c r="J245" s="693">
        <f t="shared" si="50"/>
        <v>0</v>
      </c>
      <c r="K245" s="693">
        <f>SUM(K241:K244)</f>
        <v>0</v>
      </c>
      <c r="L245" s="693">
        <f>SUM(L241:L244)</f>
        <v>0</v>
      </c>
      <c r="M245" s="693">
        <f>SUM(M241:M244)</f>
        <v>0</v>
      </c>
      <c r="N245" s="693">
        <f>SUM(N241:N244)</f>
        <v>0</v>
      </c>
      <c r="O245" s="693">
        <f>+C245-(SUM(D245:N245))</f>
        <v>0</v>
      </c>
      <c r="P245" s="325"/>
    </row>
    <row r="246" spans="1:16" s="88" customFormat="1" ht="12.75">
      <c r="A246" s="173"/>
      <c r="B246" s="333" t="s">
        <v>16</v>
      </c>
      <c r="C246" s="691"/>
      <c r="D246" s="691"/>
      <c r="E246" s="691"/>
      <c r="F246" s="691"/>
      <c r="G246" s="691"/>
      <c r="H246" s="691"/>
      <c r="I246" s="691"/>
      <c r="J246" s="691"/>
      <c r="K246" s="691"/>
      <c r="L246" s="691"/>
      <c r="M246" s="691"/>
      <c r="N246" s="691"/>
      <c r="O246" s="691"/>
      <c r="P246" s="325"/>
    </row>
    <row r="247" spans="1:16" s="88" customFormat="1" ht="12.75">
      <c r="A247" s="173"/>
      <c r="B247" s="355"/>
      <c r="C247" s="692"/>
      <c r="D247" s="692"/>
      <c r="E247" s="696"/>
      <c r="F247" s="696"/>
      <c r="G247" s="692"/>
      <c r="H247" s="692"/>
      <c r="I247" s="692"/>
      <c r="J247" s="692"/>
      <c r="K247" s="692"/>
      <c r="L247" s="692"/>
      <c r="M247" s="692"/>
      <c r="N247" s="692"/>
      <c r="O247" s="692">
        <f>+C247-(SUM(D247:N247))</f>
        <v>0</v>
      </c>
      <c r="P247" s="325"/>
    </row>
    <row r="248" spans="1:16" s="88" customFormat="1" ht="12.75">
      <c r="A248" s="173"/>
      <c r="B248" s="355"/>
      <c r="C248" s="692"/>
      <c r="D248" s="692"/>
      <c r="E248" s="696"/>
      <c r="F248" s="696"/>
      <c r="G248" s="692"/>
      <c r="H248" s="692"/>
      <c r="I248" s="692"/>
      <c r="J248" s="692"/>
      <c r="K248" s="692"/>
      <c r="L248" s="692"/>
      <c r="M248" s="692"/>
      <c r="N248" s="692"/>
      <c r="O248" s="692">
        <f>+C248-(SUM(D248:N248))</f>
        <v>0</v>
      </c>
      <c r="P248" s="325"/>
    </row>
    <row r="249" spans="1:16" s="88" customFormat="1" ht="12.75" hidden="1">
      <c r="A249" s="173"/>
      <c r="B249" s="358"/>
      <c r="C249" s="691"/>
      <c r="D249" s="691"/>
      <c r="E249" s="691"/>
      <c r="F249" s="691"/>
      <c r="G249" s="691"/>
      <c r="H249" s="691"/>
      <c r="I249" s="691"/>
      <c r="J249" s="691"/>
      <c r="K249" s="691"/>
      <c r="L249" s="692"/>
      <c r="M249" s="692"/>
      <c r="N249" s="692"/>
      <c r="O249" s="691">
        <f>+C249-(SUM(D249:N249))</f>
        <v>0</v>
      </c>
      <c r="P249" s="325"/>
    </row>
    <row r="250" spans="1:16" s="88" customFormat="1" ht="12.75">
      <c r="A250" s="172"/>
      <c r="B250" s="336" t="s">
        <v>191</v>
      </c>
      <c r="C250" s="693">
        <f aca="true" t="shared" si="51" ref="C250:J250">SUM(C246:C249)</f>
        <v>0</v>
      </c>
      <c r="D250" s="693">
        <f t="shared" si="51"/>
        <v>0</v>
      </c>
      <c r="E250" s="693">
        <f t="shared" si="51"/>
        <v>0</v>
      </c>
      <c r="F250" s="693">
        <f t="shared" si="51"/>
        <v>0</v>
      </c>
      <c r="G250" s="693">
        <f t="shared" si="51"/>
        <v>0</v>
      </c>
      <c r="H250" s="693">
        <f>SUM(H246:H249)</f>
        <v>0</v>
      </c>
      <c r="I250" s="693">
        <f>SUM(I246:I249)</f>
        <v>0</v>
      </c>
      <c r="J250" s="693">
        <f t="shared" si="51"/>
        <v>0</v>
      </c>
      <c r="K250" s="693">
        <f>SUM(K246:K249)</f>
        <v>0</v>
      </c>
      <c r="L250" s="693">
        <f>SUM(L246:L249)</f>
        <v>0</v>
      </c>
      <c r="M250" s="693">
        <f>SUM(M246:M249)</f>
        <v>0</v>
      </c>
      <c r="N250" s="693">
        <f>SUM(N246:N249)</f>
        <v>0</v>
      </c>
      <c r="O250" s="693">
        <f>+C250-(SUM(D250:N250))</f>
        <v>0</v>
      </c>
      <c r="P250" s="325"/>
    </row>
    <row r="251" spans="1:16" s="88" customFormat="1" ht="12.75">
      <c r="A251" s="173"/>
      <c r="B251" s="333" t="s">
        <v>24</v>
      </c>
      <c r="C251" s="691"/>
      <c r="D251" s="691"/>
      <c r="E251" s="691"/>
      <c r="F251" s="691"/>
      <c r="G251" s="691"/>
      <c r="H251" s="691"/>
      <c r="I251" s="691"/>
      <c r="J251" s="691"/>
      <c r="K251" s="691"/>
      <c r="L251" s="691"/>
      <c r="M251" s="691"/>
      <c r="N251" s="691"/>
      <c r="O251" s="691"/>
      <c r="P251" s="325"/>
    </row>
    <row r="252" spans="1:16" s="88" customFormat="1" ht="12.75">
      <c r="A252" s="173"/>
      <c r="B252" s="334"/>
      <c r="C252" s="692"/>
      <c r="D252" s="692"/>
      <c r="E252" s="696"/>
      <c r="F252" s="696"/>
      <c r="G252" s="692"/>
      <c r="H252" s="692"/>
      <c r="I252" s="692"/>
      <c r="J252" s="692"/>
      <c r="K252" s="692"/>
      <c r="L252" s="692"/>
      <c r="M252" s="692"/>
      <c r="N252" s="692"/>
      <c r="O252" s="692">
        <f>+C252-(SUM(D252:N252))</f>
        <v>0</v>
      </c>
      <c r="P252" s="325"/>
    </row>
    <row r="253" spans="1:16" s="88" customFormat="1" ht="12.75">
      <c r="A253" s="173"/>
      <c r="B253" s="355"/>
      <c r="C253" s="692"/>
      <c r="D253" s="692"/>
      <c r="E253" s="696"/>
      <c r="F253" s="696"/>
      <c r="G253" s="692"/>
      <c r="H253" s="692"/>
      <c r="I253" s="692"/>
      <c r="J253" s="692"/>
      <c r="K253" s="692"/>
      <c r="L253" s="692"/>
      <c r="M253" s="692"/>
      <c r="N253" s="692"/>
      <c r="O253" s="692">
        <f>+C253-(SUM(D253:N253))</f>
        <v>0</v>
      </c>
      <c r="P253" s="325"/>
    </row>
    <row r="254" spans="1:16" s="88" customFormat="1" ht="12.75" hidden="1">
      <c r="A254" s="173"/>
      <c r="B254" s="358"/>
      <c r="C254" s="691"/>
      <c r="D254" s="691"/>
      <c r="E254" s="691"/>
      <c r="F254" s="691"/>
      <c r="G254" s="691"/>
      <c r="H254" s="691"/>
      <c r="I254" s="691"/>
      <c r="J254" s="691"/>
      <c r="K254" s="691"/>
      <c r="L254" s="692"/>
      <c r="M254" s="692"/>
      <c r="N254" s="692"/>
      <c r="O254" s="691">
        <f>+C254-(SUM(D254:N254))</f>
        <v>0</v>
      </c>
      <c r="P254" s="325"/>
    </row>
    <row r="255" spans="1:16" s="88" customFormat="1" ht="12.75">
      <c r="A255" s="172"/>
      <c r="B255" s="336" t="s">
        <v>192</v>
      </c>
      <c r="C255" s="693">
        <f aca="true" t="shared" si="52" ref="C255:J255">SUM(C251:C254)</f>
        <v>0</v>
      </c>
      <c r="D255" s="693">
        <f t="shared" si="52"/>
        <v>0</v>
      </c>
      <c r="E255" s="693">
        <f t="shared" si="52"/>
        <v>0</v>
      </c>
      <c r="F255" s="693">
        <f t="shared" si="52"/>
        <v>0</v>
      </c>
      <c r="G255" s="693">
        <f t="shared" si="52"/>
        <v>0</v>
      </c>
      <c r="H255" s="693">
        <f>SUM(H251:H254)</f>
        <v>0</v>
      </c>
      <c r="I255" s="693">
        <f>SUM(I251:I254)</f>
        <v>0</v>
      </c>
      <c r="J255" s="693">
        <f t="shared" si="52"/>
        <v>0</v>
      </c>
      <c r="K255" s="693">
        <f>SUM(K251:K254)</f>
        <v>0</v>
      </c>
      <c r="L255" s="693">
        <f>SUM(L251:L254)</f>
        <v>0</v>
      </c>
      <c r="M255" s="693">
        <f>SUM(M251:M254)</f>
        <v>0</v>
      </c>
      <c r="N255" s="693">
        <f>SUM(N251:N254)</f>
        <v>0</v>
      </c>
      <c r="O255" s="693">
        <f>+C255-(SUM(D255:N255))</f>
        <v>0</v>
      </c>
      <c r="P255" s="325"/>
    </row>
    <row r="256" spans="1:16" s="88" customFormat="1" ht="12.75">
      <c r="A256" s="173"/>
      <c r="B256" s="333" t="s">
        <v>25</v>
      </c>
      <c r="C256" s="691"/>
      <c r="D256" s="691"/>
      <c r="E256" s="691"/>
      <c r="F256" s="691"/>
      <c r="G256" s="691"/>
      <c r="H256" s="691"/>
      <c r="I256" s="691"/>
      <c r="J256" s="691"/>
      <c r="K256" s="691"/>
      <c r="L256" s="691"/>
      <c r="M256" s="691"/>
      <c r="N256" s="691"/>
      <c r="O256" s="691"/>
      <c r="P256" s="325"/>
    </row>
    <row r="257" spans="1:16" s="88" customFormat="1" ht="12.75">
      <c r="A257" s="173"/>
      <c r="B257" s="355"/>
      <c r="C257" s="692"/>
      <c r="D257" s="692"/>
      <c r="E257" s="696"/>
      <c r="F257" s="696"/>
      <c r="G257" s="692"/>
      <c r="H257" s="692"/>
      <c r="I257" s="692"/>
      <c r="J257" s="692"/>
      <c r="K257" s="692"/>
      <c r="L257" s="692"/>
      <c r="M257" s="692"/>
      <c r="N257" s="692"/>
      <c r="O257" s="692">
        <f>+C257-(SUM(D257:N257))</f>
        <v>0</v>
      </c>
      <c r="P257" s="325"/>
    </row>
    <row r="258" spans="1:16" s="88" customFormat="1" ht="12.75">
      <c r="A258" s="173"/>
      <c r="B258" s="355"/>
      <c r="C258" s="692"/>
      <c r="D258" s="692"/>
      <c r="E258" s="696"/>
      <c r="F258" s="696"/>
      <c r="G258" s="692"/>
      <c r="H258" s="692"/>
      <c r="I258" s="692"/>
      <c r="J258" s="692"/>
      <c r="K258" s="692"/>
      <c r="L258" s="692"/>
      <c r="M258" s="692"/>
      <c r="N258" s="692"/>
      <c r="O258" s="692">
        <f>+C258-(SUM(D258:N258))</f>
        <v>0</v>
      </c>
      <c r="P258" s="325"/>
    </row>
    <row r="259" spans="1:16" s="88" customFormat="1" ht="12.75" hidden="1">
      <c r="A259" s="173"/>
      <c r="B259" s="358"/>
      <c r="C259" s="691"/>
      <c r="D259" s="691"/>
      <c r="E259" s="691"/>
      <c r="F259" s="691"/>
      <c r="G259" s="691"/>
      <c r="H259" s="691"/>
      <c r="I259" s="691"/>
      <c r="J259" s="691"/>
      <c r="K259" s="691"/>
      <c r="L259" s="692"/>
      <c r="M259" s="692"/>
      <c r="N259" s="692"/>
      <c r="O259" s="691">
        <f>+C259-(SUM(D259:N259))</f>
        <v>0</v>
      </c>
      <c r="P259" s="325"/>
    </row>
    <row r="260" spans="1:16" s="88" customFormat="1" ht="12.75">
      <c r="A260" s="172"/>
      <c r="B260" s="336" t="s">
        <v>193</v>
      </c>
      <c r="C260" s="693">
        <f aca="true" t="shared" si="53" ref="C260:J260">SUM(C256:C259)</f>
        <v>0</v>
      </c>
      <c r="D260" s="693">
        <f t="shared" si="53"/>
        <v>0</v>
      </c>
      <c r="E260" s="693">
        <f t="shared" si="53"/>
        <v>0</v>
      </c>
      <c r="F260" s="693">
        <f t="shared" si="53"/>
        <v>0</v>
      </c>
      <c r="G260" s="693">
        <f t="shared" si="53"/>
        <v>0</v>
      </c>
      <c r="H260" s="693">
        <f>SUM(H256:H259)</f>
        <v>0</v>
      </c>
      <c r="I260" s="693">
        <f>SUM(I256:I259)</f>
        <v>0</v>
      </c>
      <c r="J260" s="693">
        <f t="shared" si="53"/>
        <v>0</v>
      </c>
      <c r="K260" s="693">
        <f>SUM(K256:K259)</f>
        <v>0</v>
      </c>
      <c r="L260" s="693">
        <f>SUM(L256:L259)</f>
        <v>0</v>
      </c>
      <c r="M260" s="693">
        <f>SUM(M256:M259)</f>
        <v>0</v>
      </c>
      <c r="N260" s="693">
        <f>SUM(N256:N259)</f>
        <v>0</v>
      </c>
      <c r="O260" s="693">
        <f>+C260-(SUM(D260:N260))</f>
        <v>0</v>
      </c>
      <c r="P260" s="325"/>
    </row>
    <row r="261" spans="1:16" s="88" customFormat="1" ht="12.75">
      <c r="A261" s="173"/>
      <c r="B261" s="333" t="s">
        <v>109</v>
      </c>
      <c r="C261" s="691"/>
      <c r="D261" s="691"/>
      <c r="E261" s="691"/>
      <c r="F261" s="691"/>
      <c r="G261" s="691"/>
      <c r="H261" s="691"/>
      <c r="I261" s="691"/>
      <c r="J261" s="691"/>
      <c r="K261" s="691"/>
      <c r="L261" s="691"/>
      <c r="M261" s="691"/>
      <c r="N261" s="691"/>
      <c r="O261" s="691"/>
      <c r="P261" s="325"/>
    </row>
    <row r="262" spans="1:16" s="88" customFormat="1" ht="12.75">
      <c r="A262" s="173"/>
      <c r="B262" s="355"/>
      <c r="C262" s="692"/>
      <c r="D262" s="692"/>
      <c r="E262" s="696"/>
      <c r="F262" s="696"/>
      <c r="G262" s="692"/>
      <c r="H262" s="692"/>
      <c r="I262" s="692"/>
      <c r="J262" s="692"/>
      <c r="K262" s="692"/>
      <c r="L262" s="692"/>
      <c r="M262" s="692"/>
      <c r="N262" s="692"/>
      <c r="O262" s="692">
        <f>+C262-(SUM(D262:N262))</f>
        <v>0</v>
      </c>
      <c r="P262" s="325"/>
    </row>
    <row r="263" spans="1:16" s="88" customFormat="1" ht="12.75">
      <c r="A263" s="173"/>
      <c r="B263" s="355"/>
      <c r="C263" s="692"/>
      <c r="D263" s="692"/>
      <c r="E263" s="696"/>
      <c r="F263" s="696"/>
      <c r="G263" s="692"/>
      <c r="H263" s="692"/>
      <c r="I263" s="692"/>
      <c r="J263" s="692"/>
      <c r="K263" s="692"/>
      <c r="L263" s="692"/>
      <c r="M263" s="692"/>
      <c r="N263" s="692"/>
      <c r="O263" s="692">
        <f>+C263-(SUM(D263:N263))</f>
        <v>0</v>
      </c>
      <c r="P263" s="325"/>
    </row>
    <row r="264" spans="1:16" s="88" customFormat="1" ht="12.75" hidden="1">
      <c r="A264" s="173"/>
      <c r="B264" s="358"/>
      <c r="C264" s="691"/>
      <c r="D264" s="691"/>
      <c r="E264" s="691"/>
      <c r="F264" s="691"/>
      <c r="G264" s="691"/>
      <c r="H264" s="691"/>
      <c r="I264" s="691"/>
      <c r="J264" s="691"/>
      <c r="K264" s="691"/>
      <c r="L264" s="692"/>
      <c r="M264" s="692"/>
      <c r="N264" s="692"/>
      <c r="O264" s="691">
        <f>+C264-(SUM(D264:N264))</f>
        <v>0</v>
      </c>
      <c r="P264" s="325"/>
    </row>
    <row r="265" spans="1:16" s="88" customFormat="1" ht="12.75">
      <c r="A265" s="172"/>
      <c r="B265" s="336" t="s">
        <v>194</v>
      </c>
      <c r="C265" s="693">
        <f aca="true" t="shared" si="54" ref="C265:J265">SUM(C261:C264)</f>
        <v>0</v>
      </c>
      <c r="D265" s="693">
        <f t="shared" si="54"/>
        <v>0</v>
      </c>
      <c r="E265" s="693">
        <f t="shared" si="54"/>
        <v>0</v>
      </c>
      <c r="F265" s="693">
        <f t="shared" si="54"/>
        <v>0</v>
      </c>
      <c r="G265" s="693">
        <f t="shared" si="54"/>
        <v>0</v>
      </c>
      <c r="H265" s="693">
        <f>SUM(H261:H264)</f>
        <v>0</v>
      </c>
      <c r="I265" s="693">
        <f>SUM(I261:I264)</f>
        <v>0</v>
      </c>
      <c r="J265" s="693">
        <f t="shared" si="54"/>
        <v>0</v>
      </c>
      <c r="K265" s="693">
        <f>SUM(K261:K264)</f>
        <v>0</v>
      </c>
      <c r="L265" s="693">
        <f>SUM(L261:L264)</f>
        <v>0</v>
      </c>
      <c r="M265" s="693">
        <f>SUM(M261:M264)</f>
        <v>0</v>
      </c>
      <c r="N265" s="693">
        <f>SUM(N261:N264)</f>
        <v>0</v>
      </c>
      <c r="O265" s="693">
        <f>+C265-(SUM(D265:N265))</f>
        <v>0</v>
      </c>
      <c r="P265" s="325"/>
    </row>
    <row r="266" spans="1:16" s="88" customFormat="1" ht="12.75">
      <c r="A266" s="173"/>
      <c r="B266" s="333" t="s">
        <v>17</v>
      </c>
      <c r="C266" s="691"/>
      <c r="D266" s="691"/>
      <c r="E266" s="691"/>
      <c r="F266" s="691"/>
      <c r="G266" s="691"/>
      <c r="H266" s="691"/>
      <c r="I266" s="691"/>
      <c r="J266" s="691"/>
      <c r="K266" s="691"/>
      <c r="L266" s="691"/>
      <c r="M266" s="691"/>
      <c r="N266" s="691"/>
      <c r="O266" s="691"/>
      <c r="P266" s="325"/>
    </row>
    <row r="267" spans="1:16" s="88" customFormat="1" ht="12.75">
      <c r="A267" s="173"/>
      <c r="B267" s="355"/>
      <c r="C267" s="692"/>
      <c r="D267" s="692"/>
      <c r="E267" s="696"/>
      <c r="F267" s="696"/>
      <c r="G267" s="692"/>
      <c r="H267" s="692"/>
      <c r="I267" s="692"/>
      <c r="J267" s="692"/>
      <c r="K267" s="692"/>
      <c r="L267" s="692"/>
      <c r="M267" s="692"/>
      <c r="N267" s="692"/>
      <c r="O267" s="692">
        <f>+C267-(SUM(D267:N267))</f>
        <v>0</v>
      </c>
      <c r="P267" s="325"/>
    </row>
    <row r="268" spans="1:16" s="88" customFormat="1" ht="12.75">
      <c r="A268" s="173"/>
      <c r="B268" s="355"/>
      <c r="C268" s="692"/>
      <c r="D268" s="692"/>
      <c r="E268" s="696"/>
      <c r="F268" s="696"/>
      <c r="G268" s="692"/>
      <c r="H268" s="692"/>
      <c r="I268" s="692"/>
      <c r="J268" s="692"/>
      <c r="K268" s="692"/>
      <c r="L268" s="692"/>
      <c r="M268" s="692"/>
      <c r="N268" s="692"/>
      <c r="O268" s="692">
        <f>+C268-(SUM(D268:N268))</f>
        <v>0</v>
      </c>
      <c r="P268" s="325"/>
    </row>
    <row r="269" spans="1:16" s="88" customFormat="1" ht="12.75" hidden="1">
      <c r="A269" s="173"/>
      <c r="B269" s="358"/>
      <c r="C269" s="691"/>
      <c r="D269" s="691"/>
      <c r="E269" s="691"/>
      <c r="F269" s="691"/>
      <c r="G269" s="691"/>
      <c r="H269" s="691"/>
      <c r="I269" s="691"/>
      <c r="J269" s="691"/>
      <c r="K269" s="691"/>
      <c r="L269" s="692"/>
      <c r="M269" s="692"/>
      <c r="N269" s="692"/>
      <c r="O269" s="691">
        <f>+C269-(SUM(D269:N269))</f>
        <v>0</v>
      </c>
      <c r="P269" s="325"/>
    </row>
    <row r="270" spans="1:16" s="88" customFormat="1" ht="12.75">
      <c r="A270" s="172"/>
      <c r="B270" s="336" t="s">
        <v>195</v>
      </c>
      <c r="C270" s="693">
        <f aca="true" t="shared" si="55" ref="C270:J270">SUM(C266:C269)</f>
        <v>0</v>
      </c>
      <c r="D270" s="693">
        <f t="shared" si="55"/>
        <v>0</v>
      </c>
      <c r="E270" s="693">
        <f t="shared" si="55"/>
        <v>0</v>
      </c>
      <c r="F270" s="693">
        <f t="shared" si="55"/>
        <v>0</v>
      </c>
      <c r="G270" s="693">
        <f t="shared" si="55"/>
        <v>0</v>
      </c>
      <c r="H270" s="693">
        <f>SUM(H266:H269)</f>
        <v>0</v>
      </c>
      <c r="I270" s="693">
        <f>SUM(I266:I269)</f>
        <v>0</v>
      </c>
      <c r="J270" s="693">
        <f t="shared" si="55"/>
        <v>0</v>
      </c>
      <c r="K270" s="693">
        <f>SUM(K266:K269)</f>
        <v>0</v>
      </c>
      <c r="L270" s="693">
        <f>SUM(L266:L269)</f>
        <v>0</v>
      </c>
      <c r="M270" s="693">
        <f>SUM(M266:M269)</f>
        <v>0</v>
      </c>
      <c r="N270" s="693">
        <f>SUM(N266:N269)</f>
        <v>0</v>
      </c>
      <c r="O270" s="693">
        <f>+C270-(SUM(D270:N270))</f>
        <v>0</v>
      </c>
      <c r="P270" s="325"/>
    </row>
    <row r="271" spans="1:16" s="88" customFormat="1" ht="12.75">
      <c r="A271" s="173"/>
      <c r="B271" s="359" t="s">
        <v>108</v>
      </c>
      <c r="C271" s="698"/>
      <c r="D271" s="698"/>
      <c r="E271" s="698"/>
      <c r="F271" s="698"/>
      <c r="G271" s="698"/>
      <c r="H271" s="698"/>
      <c r="I271" s="698"/>
      <c r="J271" s="698"/>
      <c r="K271" s="698"/>
      <c r="L271" s="698"/>
      <c r="M271" s="698"/>
      <c r="N271" s="698"/>
      <c r="O271" s="698"/>
      <c r="P271" s="325"/>
    </row>
    <row r="272" spans="1:16" s="88" customFormat="1" ht="12.75">
      <c r="A272" s="173"/>
      <c r="B272" s="355"/>
      <c r="C272" s="692"/>
      <c r="D272" s="692"/>
      <c r="E272" s="696"/>
      <c r="F272" s="696"/>
      <c r="G272" s="692"/>
      <c r="H272" s="692"/>
      <c r="I272" s="692"/>
      <c r="J272" s="692"/>
      <c r="K272" s="692"/>
      <c r="L272" s="692"/>
      <c r="M272" s="692"/>
      <c r="N272" s="692"/>
      <c r="O272" s="692">
        <f>+C272-(SUM(D272:N272))</f>
        <v>0</v>
      </c>
      <c r="P272" s="325"/>
    </row>
    <row r="273" spans="1:16" s="88" customFormat="1" ht="12.75">
      <c r="A273" s="173"/>
      <c r="B273" s="355"/>
      <c r="C273" s="692"/>
      <c r="D273" s="692"/>
      <c r="E273" s="696"/>
      <c r="F273" s="696"/>
      <c r="G273" s="692"/>
      <c r="H273" s="692"/>
      <c r="I273" s="692"/>
      <c r="J273" s="692"/>
      <c r="K273" s="692"/>
      <c r="L273" s="692"/>
      <c r="M273" s="692"/>
      <c r="N273" s="692"/>
      <c r="O273" s="692">
        <f>+C273-(SUM(D273:N273))</f>
        <v>0</v>
      </c>
      <c r="P273" s="325"/>
    </row>
    <row r="274" spans="1:16" s="88" customFormat="1" ht="12.75" hidden="1">
      <c r="A274" s="173"/>
      <c r="B274" s="360"/>
      <c r="C274" s="694"/>
      <c r="D274" s="694"/>
      <c r="E274" s="694"/>
      <c r="F274" s="694"/>
      <c r="G274" s="694"/>
      <c r="H274" s="694"/>
      <c r="I274" s="694"/>
      <c r="J274" s="694"/>
      <c r="K274" s="694"/>
      <c r="L274" s="695"/>
      <c r="M274" s="695"/>
      <c r="N274" s="695"/>
      <c r="O274" s="694">
        <f>+C274-(SUM(D274:N274))</f>
        <v>0</v>
      </c>
      <c r="P274" s="325"/>
    </row>
    <row r="275" spans="1:16" s="88" customFormat="1" ht="12.75">
      <c r="A275" s="172"/>
      <c r="B275" s="336" t="s">
        <v>196</v>
      </c>
      <c r="C275" s="693">
        <f aca="true" t="shared" si="56" ref="C275:J275">SUM(C271:C274)</f>
        <v>0</v>
      </c>
      <c r="D275" s="693">
        <f>SUM(D271:D274)</f>
        <v>0</v>
      </c>
      <c r="E275" s="693">
        <f t="shared" si="56"/>
        <v>0</v>
      </c>
      <c r="F275" s="693">
        <f t="shared" si="56"/>
        <v>0</v>
      </c>
      <c r="G275" s="693">
        <f t="shared" si="56"/>
        <v>0</v>
      </c>
      <c r="H275" s="693">
        <f>SUM(H271:H274)</f>
        <v>0</v>
      </c>
      <c r="I275" s="693">
        <f>SUM(I271:I274)</f>
        <v>0</v>
      </c>
      <c r="J275" s="693">
        <f t="shared" si="56"/>
        <v>0</v>
      </c>
      <c r="K275" s="693">
        <f>SUM(K271:K274)</f>
        <v>0</v>
      </c>
      <c r="L275" s="693">
        <f>SUM(L271:L274)</f>
        <v>0</v>
      </c>
      <c r="M275" s="693">
        <f>SUM(M271:M274)</f>
        <v>0</v>
      </c>
      <c r="N275" s="693">
        <f>SUM(N271:N274)</f>
        <v>0</v>
      </c>
      <c r="O275" s="693">
        <f>+C275-(SUM(D275:N275))</f>
        <v>0</v>
      </c>
      <c r="P275" s="325"/>
    </row>
    <row r="276" spans="1:16" s="88" customFormat="1" ht="12.75">
      <c r="A276" s="173"/>
      <c r="B276" s="350" t="s">
        <v>173</v>
      </c>
      <c r="C276" s="694">
        <f>SUM(C275,C270,C265,C260,C255,C250,C245,C240,C235,C230,C225,C220,C215,C210)</f>
        <v>0</v>
      </c>
      <c r="D276" s="694">
        <f aca="true" t="shared" si="57" ref="D276:O276">SUM(D275,D270,D265,D260,D255,D250,D245,D240,D235,D230,D225,D220,D215,D210)</f>
        <v>0</v>
      </c>
      <c r="E276" s="694">
        <f t="shared" si="57"/>
        <v>0</v>
      </c>
      <c r="F276" s="694">
        <f t="shared" si="57"/>
        <v>0</v>
      </c>
      <c r="G276" s="694">
        <f t="shared" si="57"/>
        <v>0</v>
      </c>
      <c r="H276" s="694">
        <f t="shared" si="57"/>
        <v>0</v>
      </c>
      <c r="I276" s="694">
        <f>SUM(I275,I270,I265,I260,I255,I250,I245,I240,I235,I230,I225,I220,I215,I210)</f>
        <v>0</v>
      </c>
      <c r="J276" s="694">
        <f t="shared" si="57"/>
        <v>0</v>
      </c>
      <c r="K276" s="694">
        <f t="shared" si="57"/>
        <v>0</v>
      </c>
      <c r="L276" s="694">
        <f t="shared" si="57"/>
        <v>0</v>
      </c>
      <c r="M276" s="694">
        <f>SUM(M275,M270,M265,M260,M255,M250,M245,M240,M235,M230,M225,M220,M215,M210)</f>
        <v>0</v>
      </c>
      <c r="N276" s="694">
        <f t="shared" si="57"/>
        <v>0</v>
      </c>
      <c r="O276" s="694">
        <f t="shared" si="57"/>
        <v>0</v>
      </c>
      <c r="P276" s="325"/>
    </row>
    <row r="277" spans="1:16" s="88" customFormat="1" ht="12.75">
      <c r="A277" s="174"/>
      <c r="B277" s="796" t="s">
        <v>1</v>
      </c>
      <c r="C277" s="797"/>
      <c r="D277" s="797"/>
      <c r="E277" s="797"/>
      <c r="F277" s="797"/>
      <c r="G277" s="797"/>
      <c r="H277" s="797"/>
      <c r="I277" s="797"/>
      <c r="J277" s="797"/>
      <c r="K277" s="291"/>
      <c r="L277" s="291"/>
      <c r="M277" s="291"/>
      <c r="N277" s="291"/>
      <c r="O277" s="89"/>
      <c r="P277" s="325"/>
    </row>
    <row r="278" spans="1:16" s="88" customFormat="1" ht="12.75">
      <c r="A278" s="173"/>
      <c r="B278" s="179" t="s">
        <v>28</v>
      </c>
      <c r="C278" s="693">
        <f aca="true" t="shared" si="58" ref="C278:O278">SUM(C37+C54+C93+C115+C162+C204+C276)</f>
        <v>0</v>
      </c>
      <c r="D278" s="693">
        <f t="shared" si="58"/>
        <v>0</v>
      </c>
      <c r="E278" s="693">
        <f t="shared" si="58"/>
        <v>0</v>
      </c>
      <c r="F278" s="693">
        <f t="shared" si="58"/>
        <v>0</v>
      </c>
      <c r="G278" s="693">
        <f t="shared" si="58"/>
        <v>0</v>
      </c>
      <c r="H278" s="693">
        <f t="shared" si="58"/>
        <v>0</v>
      </c>
      <c r="I278" s="693">
        <f>SUM(I37+I54+I93+I115+I162+I204+I276)</f>
        <v>0</v>
      </c>
      <c r="J278" s="693">
        <f t="shared" si="58"/>
        <v>0</v>
      </c>
      <c r="K278" s="693">
        <f t="shared" si="58"/>
        <v>0</v>
      </c>
      <c r="L278" s="693">
        <f t="shared" si="58"/>
        <v>0</v>
      </c>
      <c r="M278" s="693">
        <f>SUM(M37+M54+M93+M115+M162+M204+M276)</f>
        <v>0</v>
      </c>
      <c r="N278" s="693">
        <f t="shared" si="58"/>
        <v>0</v>
      </c>
      <c r="O278" s="693">
        <f t="shared" si="58"/>
        <v>0</v>
      </c>
      <c r="P278" s="325"/>
    </row>
    <row r="279" spans="1:16" s="88" customFormat="1" ht="12.75">
      <c r="A279" s="173"/>
      <c r="B279" s="179" t="s">
        <v>404</v>
      </c>
      <c r="C279" s="703">
        <f>SUM(D279:O279)</f>
        <v>0</v>
      </c>
      <c r="D279" s="703">
        <f>IF(Total_Total_All_Cost_Areas=0,0,+HD_Total_All_Cost_Areas/Total_Total_All_Cost_Areas)</f>
        <v>0</v>
      </c>
      <c r="E279" s="703">
        <f>IF(Total_Total_All_Cost_Areas=0,0,+NE_AAA_Total_All_Cost_Areas/Total_Total_All_Cost_Areas)</f>
        <v>0</v>
      </c>
      <c r="F279" s="703">
        <f>IF(Total_Total_All_Cost_Areas=0,0,+NE_RLS__Total_All_Cost_Areas/Total_Total_All_Cost_Areas)</f>
        <v>0</v>
      </c>
      <c r="G279" s="703">
        <f>IF(Total_Total_All_Cost_Areas=0,0,C_Total_All_Cost_Areas/Total_Total_All_Cost_Areas)</f>
        <v>0</v>
      </c>
      <c r="H279" s="703">
        <f aca="true" t="shared" si="59" ref="H279:N279">IF(Total_Total_All_Cost_Areas=0,0,H278/Total_Total_All_Cost_Areas)</f>
        <v>0</v>
      </c>
      <c r="I279" s="703">
        <f t="shared" si="59"/>
        <v>0</v>
      </c>
      <c r="J279" s="703">
        <f t="shared" si="59"/>
        <v>0</v>
      </c>
      <c r="K279" s="703">
        <f t="shared" si="59"/>
        <v>0</v>
      </c>
      <c r="L279" s="703">
        <f t="shared" si="59"/>
        <v>0</v>
      </c>
      <c r="M279" s="703">
        <f>IF(Total_Total_All_Cost_Areas=0,0,M278/Total_Total_All_Cost_Areas)</f>
        <v>0</v>
      </c>
      <c r="N279" s="703">
        <f t="shared" si="59"/>
        <v>0</v>
      </c>
      <c r="O279" s="703"/>
      <c r="P279" s="325"/>
    </row>
    <row r="280" spans="1:15" s="88" customFormat="1" ht="12.75">
      <c r="A280" s="173"/>
      <c r="B280" s="798" t="s">
        <v>381</v>
      </c>
      <c r="C280" s="799"/>
      <c r="D280" s="799"/>
      <c r="E280" s="799"/>
      <c r="F280" s="799"/>
      <c r="G280" s="799"/>
      <c r="H280" s="800"/>
      <c r="I280" s="113"/>
      <c r="J280" s="113"/>
      <c r="K280" s="113"/>
      <c r="L280" s="113"/>
      <c r="M280" s="113"/>
      <c r="N280" s="113"/>
      <c r="O280" s="113"/>
    </row>
    <row r="281" spans="1:15" s="88" customFormat="1" ht="12.75">
      <c r="A281" s="173"/>
      <c r="B281" s="734" t="s">
        <v>386</v>
      </c>
      <c r="C281" s="734"/>
      <c r="D281" s="734"/>
      <c r="E281" s="701"/>
      <c r="F281" s="701"/>
      <c r="G281" s="734"/>
      <c r="H281" s="734"/>
      <c r="I281" s="113"/>
      <c r="J281" s="113"/>
      <c r="K281" s="113"/>
      <c r="L281" s="113"/>
      <c r="M281" s="113"/>
      <c r="N281" s="113"/>
      <c r="O281" s="113"/>
    </row>
    <row r="282" spans="1:15" s="88" customFormat="1" ht="12.75">
      <c r="A282" s="173"/>
      <c r="B282" s="615" t="s">
        <v>385</v>
      </c>
      <c r="C282" s="118">
        <f>+D282+G282+H282</f>
        <v>0</v>
      </c>
      <c r="D282" s="735"/>
      <c r="E282" s="701"/>
      <c r="F282" s="701"/>
      <c r="G282" s="735"/>
      <c r="H282" s="735"/>
      <c r="I282" s="113"/>
      <c r="J282" s="113"/>
      <c r="K282" s="113"/>
      <c r="L282" s="167"/>
      <c r="M282" s="167"/>
      <c r="N282" s="167"/>
      <c r="O282" s="113"/>
    </row>
    <row r="283" spans="1:15" s="88" customFormat="1" ht="12.75">
      <c r="A283" s="173"/>
      <c r="B283" s="615" t="s">
        <v>383</v>
      </c>
      <c r="C283" s="118">
        <f>+D283+G283+H283</f>
        <v>0</v>
      </c>
      <c r="D283" s="735"/>
      <c r="E283" s="701"/>
      <c r="F283" s="701"/>
      <c r="G283" s="735"/>
      <c r="H283" s="735"/>
      <c r="I283" s="113"/>
      <c r="J283" s="113"/>
      <c r="K283" s="113"/>
      <c r="L283" s="167"/>
      <c r="M283" s="167"/>
      <c r="N283" s="167"/>
      <c r="O283" s="113"/>
    </row>
    <row r="284" spans="1:15" s="88" customFormat="1" ht="12.75">
      <c r="A284" s="173"/>
      <c r="B284" s="615" t="s">
        <v>384</v>
      </c>
      <c r="C284" s="118">
        <f>+D284+G284+H284</f>
        <v>0</v>
      </c>
      <c r="D284" s="735"/>
      <c r="E284" s="701"/>
      <c r="F284" s="701"/>
      <c r="G284" s="735"/>
      <c r="H284" s="735"/>
      <c r="I284" s="113"/>
      <c r="J284" s="113"/>
      <c r="K284" s="113"/>
      <c r="L284" s="167"/>
      <c r="M284" s="167"/>
      <c r="N284" s="167"/>
      <c r="O284" s="113"/>
    </row>
    <row r="285" spans="1:15" s="88" customFormat="1" ht="12.75">
      <c r="A285" s="173"/>
      <c r="B285" s="617" t="s">
        <v>387</v>
      </c>
      <c r="C285" s="653"/>
      <c r="D285" s="653"/>
      <c r="E285" s="701"/>
      <c r="F285" s="701"/>
      <c r="G285" s="653"/>
      <c r="H285" s="653"/>
      <c r="I285" s="113"/>
      <c r="J285" s="113"/>
      <c r="K285" s="113"/>
      <c r="L285" s="167"/>
      <c r="M285" s="167"/>
      <c r="N285" s="167"/>
      <c r="O285" s="113"/>
    </row>
    <row r="286" spans="1:15" s="88" customFormat="1" ht="12.75">
      <c r="A286" s="173"/>
      <c r="B286" s="616" t="s">
        <v>388</v>
      </c>
      <c r="C286" s="118">
        <f>+D286+G286+H286</f>
        <v>0</v>
      </c>
      <c r="D286" s="118">
        <f>SUM(D282:D285)</f>
        <v>0</v>
      </c>
      <c r="E286" s="701"/>
      <c r="F286" s="701"/>
      <c r="G286" s="118">
        <f>SUM(G282:G285)</f>
        <v>0</v>
      </c>
      <c r="H286" s="118">
        <f>SUM(H282:H284)</f>
        <v>0</v>
      </c>
      <c r="I286" s="113"/>
      <c r="J286" s="113"/>
      <c r="K286" s="113"/>
      <c r="L286" s="167"/>
      <c r="M286" s="167"/>
      <c r="N286" s="167"/>
      <c r="O286" s="113"/>
    </row>
    <row r="287" spans="1:15" s="88" customFormat="1" ht="12.75">
      <c r="A287" s="173"/>
      <c r="B287" s="734" t="s">
        <v>244</v>
      </c>
      <c r="C287" s="118"/>
      <c r="D287" s="118"/>
      <c r="E287" s="701"/>
      <c r="F287" s="701"/>
      <c r="G287" s="118"/>
      <c r="H287" s="118"/>
      <c r="I287" s="113"/>
      <c r="J287" s="113"/>
      <c r="K287" s="113"/>
      <c r="L287" s="167"/>
      <c r="M287" s="167"/>
      <c r="N287" s="167"/>
      <c r="O287" s="113"/>
    </row>
    <row r="288" spans="1:15" s="88" customFormat="1" ht="12.75">
      <c r="A288" s="173"/>
      <c r="B288" s="353" t="s">
        <v>243</v>
      </c>
      <c r="C288" s="118">
        <f>+D288+G288+H288</f>
        <v>0</v>
      </c>
      <c r="D288" s="735"/>
      <c r="E288" s="701"/>
      <c r="F288" s="701"/>
      <c r="G288" s="735"/>
      <c r="H288" s="735"/>
      <c r="I288" s="113"/>
      <c r="J288" s="113"/>
      <c r="K288" s="113"/>
      <c r="L288" s="167"/>
      <c r="M288" s="167"/>
      <c r="N288" s="167"/>
      <c r="O288" s="113"/>
    </row>
    <row r="289" spans="1:15" s="88" customFormat="1" ht="12.75">
      <c r="A289" s="173"/>
      <c r="B289" s="615" t="s">
        <v>383</v>
      </c>
      <c r="C289" s="118">
        <f>+D289+G289+H289</f>
        <v>0</v>
      </c>
      <c r="D289" s="735"/>
      <c r="E289" s="701"/>
      <c r="F289" s="701"/>
      <c r="G289" s="735"/>
      <c r="H289" s="735"/>
      <c r="I289" s="113"/>
      <c r="J289" s="113"/>
      <c r="K289" s="113"/>
      <c r="L289" s="167"/>
      <c r="M289" s="167"/>
      <c r="N289" s="167"/>
      <c r="O289" s="113"/>
    </row>
    <row r="290" spans="1:15" s="88" customFormat="1" ht="12.75">
      <c r="A290" s="173"/>
      <c r="B290" s="615" t="s">
        <v>384</v>
      </c>
      <c r="C290" s="118">
        <f>+D290+G290+H290</f>
        <v>0</v>
      </c>
      <c r="D290" s="735"/>
      <c r="E290" s="701"/>
      <c r="F290" s="701"/>
      <c r="G290" s="735"/>
      <c r="H290" s="735"/>
      <c r="I290" s="113"/>
      <c r="J290" s="113"/>
      <c r="K290" s="113"/>
      <c r="L290" s="167"/>
      <c r="M290" s="167"/>
      <c r="N290" s="167"/>
      <c r="O290" s="113"/>
    </row>
    <row r="291" spans="1:15" s="88" customFormat="1" ht="12.75">
      <c r="A291" s="173"/>
      <c r="B291" s="615" t="s">
        <v>387</v>
      </c>
      <c r="C291" s="118">
        <f>+D291+G291+H291</f>
        <v>0</v>
      </c>
      <c r="D291" s="735"/>
      <c r="E291" s="701"/>
      <c r="F291" s="701"/>
      <c r="G291" s="735"/>
      <c r="H291" s="735"/>
      <c r="I291" s="113"/>
      <c r="J291" s="113"/>
      <c r="K291" s="113"/>
      <c r="L291" s="167"/>
      <c r="M291" s="167"/>
      <c r="N291" s="167"/>
      <c r="O291" s="113"/>
    </row>
    <row r="292" spans="1:15" s="88" customFormat="1" ht="12.75">
      <c r="A292" s="173"/>
      <c r="B292" s="616" t="s">
        <v>245</v>
      </c>
      <c r="C292" s="118">
        <f>SUM(C288:C291)</f>
        <v>0</v>
      </c>
      <c r="D292" s="118">
        <f>SUM(D288:D291)</f>
        <v>0</v>
      </c>
      <c r="E292" s="701"/>
      <c r="F292" s="701"/>
      <c r="G292" s="118">
        <f>SUM(G288:G291)</f>
        <v>0</v>
      </c>
      <c r="H292" s="118">
        <f>SUM(H288:H291)</f>
        <v>0</v>
      </c>
      <c r="I292" s="113"/>
      <c r="J292" s="113"/>
      <c r="K292" s="113"/>
      <c r="L292" s="167"/>
      <c r="M292" s="167"/>
      <c r="N292" s="167"/>
      <c r="O292" s="113"/>
    </row>
    <row r="293" spans="1:15" s="88" customFormat="1" ht="12.75">
      <c r="A293" s="173"/>
      <c r="B293" s="353"/>
      <c r="C293" s="118"/>
      <c r="D293" s="118"/>
      <c r="E293" s="701"/>
      <c r="F293" s="701"/>
      <c r="G293" s="118"/>
      <c r="H293" s="118"/>
      <c r="I293" s="113"/>
      <c r="J293" s="113"/>
      <c r="K293" s="113"/>
      <c r="L293" s="113"/>
      <c r="M293" s="113"/>
      <c r="N293" s="113"/>
      <c r="O293" s="113"/>
    </row>
    <row r="294" spans="1:15" s="88" customFormat="1" ht="12.75">
      <c r="A294" s="175"/>
      <c r="B294" s="179" t="s">
        <v>200</v>
      </c>
      <c r="C294" s="118">
        <f>+Total_MealsPreparedByProvider+Total_TotalPurchasedMeals</f>
        <v>0</v>
      </c>
      <c r="D294" s="118">
        <f>+HD_MealsPreparedByProvider+HD_TotalPurchasedMeals</f>
        <v>0</v>
      </c>
      <c r="E294" s="701"/>
      <c r="F294" s="701"/>
      <c r="G294" s="118">
        <f>+C_MealsPreparedByProvider+C_TotalPurchasedMeals</f>
        <v>0</v>
      </c>
      <c r="H294" s="118">
        <f>+H286+H292</f>
        <v>0</v>
      </c>
      <c r="I294" s="307"/>
      <c r="J294" s="307"/>
      <c r="K294" s="307"/>
      <c r="L294" s="308"/>
      <c r="M294" s="308"/>
      <c r="N294" s="308"/>
      <c r="O294" s="307"/>
    </row>
    <row r="295" spans="1:15" s="88" customFormat="1" ht="12.75">
      <c r="A295" s="176"/>
      <c r="B295" s="179" t="s">
        <v>201</v>
      </c>
      <c r="C295" s="309"/>
      <c r="D295" s="310">
        <f>IF(C294=0,0,+D294/C294)</f>
        <v>0</v>
      </c>
      <c r="E295" s="701"/>
      <c r="F295" s="701"/>
      <c r="G295" s="310">
        <f>IF(C294=0,0,+G294/C294)</f>
        <v>0</v>
      </c>
      <c r="H295" s="310">
        <f>IF(C294=0,0,+H294/C294)</f>
        <v>0</v>
      </c>
      <c r="I295" s="307"/>
      <c r="J295" s="307"/>
      <c r="K295" s="307"/>
      <c r="L295" s="307"/>
      <c r="M295" s="307"/>
      <c r="N295" s="307"/>
      <c r="O295" s="307"/>
    </row>
    <row r="296" spans="1:15" s="88" customFormat="1" ht="12.75">
      <c r="A296" s="176"/>
      <c r="B296" s="179" t="s">
        <v>382</v>
      </c>
      <c r="C296" s="309"/>
      <c r="D296" s="702">
        <f>IF(AND(HD_Total_All_Cost_Areas=0,HD_TotalBudgetedMeals=0),0,(IF(E300="N",(HD_Total_All_Cost_Areas+NE_RLS__Total_All_Cost_Areas)/HD_TotalBudgetedMeals,(+HD_Total_All_Cost_Areas+(NE_AAA_Total_All_Cost_Areas*D303)+NE_RLS__Total_All_Cost_Areas)/HD_TotalBudgetedMeals)))</f>
        <v>0</v>
      </c>
      <c r="E296" s="701"/>
      <c r="F296" s="701"/>
      <c r="G296" s="702">
        <f>IF(AND(C_Total_All_Cost_Areas=0,C_TotalBudgetedMeals=0),0,(IF(E300="N",C_Total_All_Cost_Areas/C_TotalBudgetedMeals,(C_Total_All_Cost_Areas+(NE_AAA_Total_All_Cost_Areas*D304))/C_TotalBudgetedMeals)))</f>
        <v>0</v>
      </c>
      <c r="H296" s="608">
        <f>IF(AND(H278&gt;0,H294&gt;0),H278/H294,"")</f>
      </c>
      <c r="I296" s="307"/>
      <c r="J296" s="307"/>
      <c r="K296" s="307"/>
      <c r="L296" s="307"/>
      <c r="M296" s="307"/>
      <c r="N296" s="307"/>
      <c r="O296" s="307"/>
    </row>
    <row r="297" spans="1:15" s="304" customFormat="1" ht="7.5" customHeight="1">
      <c r="A297" s="177"/>
      <c r="B297" s="605"/>
      <c r="C297" s="606"/>
      <c r="D297" s="606"/>
      <c r="E297" s="606"/>
      <c r="F297" s="607"/>
      <c r="G297" s="361"/>
      <c r="H297" s="361"/>
      <c r="I297" s="361"/>
      <c r="J297" s="361"/>
      <c r="K297" s="311"/>
      <c r="L297" s="311"/>
      <c r="M297" s="311"/>
      <c r="N297" s="311"/>
      <c r="O297" s="311"/>
    </row>
    <row r="298" spans="1:15" s="304" customFormat="1" ht="25.5" customHeight="1">
      <c r="A298" s="177"/>
      <c r="B298" s="789" t="s">
        <v>442</v>
      </c>
      <c r="C298" s="790"/>
      <c r="D298" s="790"/>
      <c r="E298" s="790"/>
      <c r="F298" s="313"/>
      <c r="G298" s="361"/>
      <c r="H298" s="361"/>
      <c r="I298" s="361"/>
      <c r="J298" s="361"/>
      <c r="K298" s="311"/>
      <c r="L298" s="312"/>
      <c r="M298" s="312"/>
      <c r="N298" s="312"/>
      <c r="O298" s="311"/>
    </row>
    <row r="299" spans="1:15" s="304" customFormat="1" ht="12.75">
      <c r="A299" s="177"/>
      <c r="B299" s="794" t="s">
        <v>429</v>
      </c>
      <c r="C299" s="795"/>
      <c r="D299" s="795"/>
      <c r="E299" s="732"/>
      <c r="F299" s="313"/>
      <c r="G299" s="361"/>
      <c r="H299" s="361"/>
      <c r="I299" s="361"/>
      <c r="J299" s="361"/>
      <c r="K299" s="311"/>
      <c r="L299" s="312"/>
      <c r="M299" s="312"/>
      <c r="N299" s="312"/>
      <c r="O299" s="311"/>
    </row>
    <row r="300" spans="1:15" s="304" customFormat="1" ht="12.75">
      <c r="A300" s="330"/>
      <c r="B300" s="791" t="s">
        <v>428</v>
      </c>
      <c r="C300" s="792"/>
      <c r="D300" s="793"/>
      <c r="E300" s="363"/>
      <c r="F300" s="364"/>
      <c r="G300" s="362"/>
      <c r="H300" s="362"/>
      <c r="I300" s="362"/>
      <c r="J300" s="362"/>
      <c r="K300" s="314"/>
      <c r="L300" s="315"/>
      <c r="M300" s="315"/>
      <c r="N300" s="315"/>
      <c r="O300" s="314"/>
    </row>
    <row r="301" spans="1:15" s="304" customFormat="1" ht="12.75">
      <c r="A301" s="328"/>
      <c r="B301" s="329"/>
      <c r="C301" s="700"/>
      <c r="D301" s="700"/>
      <c r="E301" s="737"/>
      <c r="F301" s="700"/>
      <c r="G301" s="699"/>
      <c r="H301" s="699"/>
      <c r="I301" s="314"/>
      <c r="J301" s="314"/>
      <c r="K301" s="314"/>
      <c r="L301" s="315"/>
      <c r="M301" s="315"/>
      <c r="N301" s="315"/>
      <c r="O301" s="314"/>
    </row>
    <row r="302" spans="2:8" ht="12.75">
      <c r="B302" s="317"/>
      <c r="C302" s="738"/>
      <c r="D302" s="739">
        <f>+HD_TotalBudgetedMeals+C_TotalBudgetedMeals</f>
        <v>0</v>
      </c>
      <c r="E302" s="699"/>
      <c r="F302" s="699"/>
      <c r="G302" s="699"/>
      <c r="H302" s="699"/>
    </row>
    <row r="303" spans="3:8" ht="12.75">
      <c r="C303" s="740" t="s">
        <v>309</v>
      </c>
      <c r="D303" s="741" t="e">
        <f>+D294/D302</f>
        <v>#DIV/0!</v>
      </c>
      <c r="E303" s="699"/>
      <c r="F303" s="699"/>
      <c r="G303" s="699"/>
      <c r="H303" s="699"/>
    </row>
    <row r="304" spans="3:8" ht="12.75">
      <c r="C304" s="740" t="s">
        <v>310</v>
      </c>
      <c r="D304" s="741" t="e">
        <f>+C_TotalBudgetedMeals/D302</f>
        <v>#DIV/0!</v>
      </c>
      <c r="E304" s="699"/>
      <c r="F304" s="699"/>
      <c r="G304" s="699"/>
      <c r="H304" s="699"/>
    </row>
    <row r="305" spans="3:8" ht="12.75">
      <c r="C305" s="699"/>
      <c r="D305" s="699"/>
      <c r="E305" s="699"/>
      <c r="F305" s="699"/>
      <c r="G305" s="699"/>
      <c r="H305" s="699"/>
    </row>
    <row r="306" spans="3:8" ht="12.75">
      <c r="C306" s="699"/>
      <c r="D306" s="699"/>
      <c r="E306" s="699"/>
      <c r="F306" s="699"/>
      <c r="G306" s="699"/>
      <c r="H306" s="699"/>
    </row>
    <row r="307" spans="3:8" ht="12.75">
      <c r="C307" s="699"/>
      <c r="D307" s="699"/>
      <c r="E307" s="699"/>
      <c r="F307" s="699"/>
      <c r="G307" s="699"/>
      <c r="H307" s="699"/>
    </row>
    <row r="308" spans="3:8" ht="12.75">
      <c r="C308" s="699"/>
      <c r="D308" s="699"/>
      <c r="E308" s="699"/>
      <c r="F308" s="699"/>
      <c r="G308" s="699"/>
      <c r="H308" s="699"/>
    </row>
    <row r="309" spans="3:8" ht="12.75">
      <c r="C309" s="699"/>
      <c r="D309" s="699"/>
      <c r="E309" s="699"/>
      <c r="F309" s="699"/>
      <c r="G309" s="699"/>
      <c r="H309" s="699"/>
    </row>
    <row r="310" spans="3:8" ht="12.75">
      <c r="C310" s="699"/>
      <c r="D310" s="699"/>
      <c r="E310" s="699"/>
      <c r="F310" s="699"/>
      <c r="G310" s="699"/>
      <c r="H310" s="699"/>
    </row>
    <row r="311" spans="3:8" ht="12.75">
      <c r="C311" s="699"/>
      <c r="D311" s="699"/>
      <c r="E311" s="699"/>
      <c r="F311" s="699"/>
      <c r="G311" s="699"/>
      <c r="H311" s="699"/>
    </row>
    <row r="312" spans="3:8" ht="12.75">
      <c r="C312" s="699"/>
      <c r="D312" s="699"/>
      <c r="E312" s="699"/>
      <c r="F312" s="699"/>
      <c r="G312" s="699"/>
      <c r="H312" s="699"/>
    </row>
    <row r="313" spans="3:8" ht="12.75">
      <c r="C313" s="699"/>
      <c r="D313" s="699"/>
      <c r="E313" s="699"/>
      <c r="F313" s="699"/>
      <c r="G313" s="699"/>
      <c r="H313" s="699"/>
    </row>
    <row r="314" spans="3:8" ht="12.75">
      <c r="C314" s="699"/>
      <c r="D314" s="699"/>
      <c r="E314" s="699"/>
      <c r="F314" s="699"/>
      <c r="G314" s="699"/>
      <c r="H314" s="699"/>
    </row>
    <row r="315" spans="3:8" ht="12.75">
      <c r="C315" s="699"/>
      <c r="D315" s="699"/>
      <c r="E315" s="699"/>
      <c r="F315" s="699"/>
      <c r="G315" s="699"/>
      <c r="H315" s="699"/>
    </row>
    <row r="495" ht="12.75">
      <c r="C495" s="321" t="s">
        <v>299</v>
      </c>
    </row>
    <row r="496" ht="12.75">
      <c r="C496" s="321" t="s">
        <v>300</v>
      </c>
    </row>
    <row r="497" ht="12.75">
      <c r="C497" s="321" t="s">
        <v>72</v>
      </c>
    </row>
  </sheetData>
  <sheetProtection sheet="1" formatCells="0" formatColumns="0" formatRows="0" insertColumns="0" insertRows="0"/>
  <mergeCells count="17">
    <mergeCell ref="B298:E298"/>
    <mergeCell ref="B300:D300"/>
    <mergeCell ref="B299:D299"/>
    <mergeCell ref="B163:J163"/>
    <mergeCell ref="B205:J205"/>
    <mergeCell ref="B277:J277"/>
    <mergeCell ref="B280:H280"/>
    <mergeCell ref="B1:G1"/>
    <mergeCell ref="B38:J38"/>
    <mergeCell ref="B55:J55"/>
    <mergeCell ref="B94:J94"/>
    <mergeCell ref="B116:J116"/>
    <mergeCell ref="C2:G2"/>
    <mergeCell ref="B6:J6"/>
    <mergeCell ref="H3:I3"/>
    <mergeCell ref="H2:I2"/>
    <mergeCell ref="J3:K3"/>
  </mergeCells>
  <dataValidations count="6">
    <dataValidation type="decimal" allowBlank="1" showInputMessage="1" showErrorMessage="1" error="The information entered must be a positive number." sqref="E257:F258 L39:O54 I280:O293 C278:O278 G282:H284 C286:D292 E267:F268 E272:F273 E262:F263 E247:F248 E252:F253 E80:F85 E57:F59 E63:F66 D46:D49 D41:D44 D39 C39:C54 E96:F97 E75:F76 E70:F71 E89:F90 E242:F243 E237:F238 E232:F233 E227:F228 E222:F223 E217:F218 E212:F213 E207:F208 E200:F201 E195:F196 E190:F191 E185:F186 E180:F181 E175:F176 E170:F171 E165:F166 E158:F159 E153:F154 E148:F149 E143:F144 E138:F139 E133:F134 E128:F129 E123:F124 E118:F119 E111:F112 E106:F107 E101:F102 D51:K54 E39:K49 C282:D284 G286:H292">
      <formula1>0</formula1>
      <formula2>9999999999999</formula2>
    </dataValidation>
    <dataValidation type="decimal" allowBlank="1" showInputMessage="1" showErrorMessage="1" error="The information entered must be a positive number." sqref="E86:F88 L56:O93 C56:C93 D58:D62 D56:F56 E60:F62 E72:F74 D90:D93 D67:F69 D71:D74 D76:D79 D82:D88 E91:F93 E77:F79 G90:K93 G82:K88 G66:K69 G71:K74 G76:K80 G56:K64">
      <formula1>0</formula1>
      <formula2>99999999999</formula2>
    </dataValidation>
    <dataValidation type="textLength" allowBlank="1" showInputMessage="1" showErrorMessage="1" errorTitle="Nutrition Eduction" error="Enter an N if Nutrition Eductation Cost is not included in the meal cost." sqref="E300">
      <formula1>0</formula1>
      <formula2>1</formula2>
    </dataValidation>
    <dataValidation type="decimal" allowBlank="1" showInputMessage="1" showErrorMessage="1" error="The information entered must be a positive number." sqref="E274:F276 G164:O204 G206:O276 G95:O115 G117:O162 E269:F271 E249:F251 E254:F256 E259:F261 E264:F266 D112:D115 E244:F246 E239:F241 E234:F236 E229:F231 E224:F226 E219:F221 E214:F216 E209:F211 E206:F206 E197:F199 E192:F194 E187:F189 E182:F184 E177:F179 E172:F174 E167:F169 E164:F164 E155:F157 E150:F152 E145:F147 E140:F142 E135:F137 E130:F132 E125:F127 E117:F117 E108:F110 E103:F105 E98:F100 E113:F115 E160:F162 E202:F204 D206:D271 C206:C276 D129:D132 D124:D127 D120:F122 D117:D118 C117:C162 D107:D110 D102:D105 D97:D100 D95:F95 C95:C115 D134:D162 C164:D204 D273:D276">
      <formula1>0</formula1>
      <formula2>999999999999</formula2>
    </dataValidation>
    <dataValidation type="decimal" allowBlank="1" showInputMessage="1" showErrorMessage="1" error="The information entered must be a positive number" sqref="D272 C7:O37 D40 D45 D63:D66 D75 D89 D96 G81:K81 D70 D133 D128 D123 D119 D111 D106 D101 D50:K50 G89:K89 D80:D81 G70:K70 G75:K75 G65:K65 D57">
      <formula1>0</formula1>
      <formula2>9999999999999</formula2>
    </dataValidation>
    <dataValidation allowBlank="1" showInputMessage="1" showErrorMessage="1" error="&#10;" sqref="C279:O279"/>
  </dataValidations>
  <printOptions/>
  <pageMargins left="0.5" right="0.5" top="0.5" bottom="0.5" header="0.5" footer="0.5"/>
  <pageSetup fitToHeight="18" horizontalDpi="600" verticalDpi="600" orientation="landscape" paperSize="5" scale="65" r:id="rId1"/>
  <rowBreaks count="5" manualBreakCount="5">
    <brk id="54" min="1" max="13" man="1"/>
    <brk id="93" max="14" man="1"/>
    <brk id="162" max="14" man="1"/>
    <brk id="204" max="14" man="1"/>
    <brk id="276" max="14" man="1"/>
  </rowBreaks>
</worksheet>
</file>

<file path=xl/worksheets/sheet20.xml><?xml version="1.0" encoding="utf-8"?>
<worksheet xmlns="http://schemas.openxmlformats.org/spreadsheetml/2006/main" xmlns:r="http://schemas.openxmlformats.org/officeDocument/2006/relationships">
  <sheetPr codeName="Sheet19">
    <tabColor rgb="FF0070C0"/>
    <pageSetUpPr fitToPage="1"/>
  </sheetPr>
  <dimension ref="A1:N50"/>
  <sheetViews>
    <sheetView showGridLines="0" zoomScalePageLayoutView="0" workbookViewId="0" topLeftCell="A1">
      <selection activeCell="B24" sqref="B24:E24"/>
    </sheetView>
  </sheetViews>
  <sheetFormatPr defaultColWidth="9.140625" defaultRowHeight="12.75"/>
  <cols>
    <col min="1" max="1" width="6.140625" style="20" customWidth="1"/>
    <col min="2" max="2" width="11.421875" style="20" customWidth="1"/>
    <col min="3" max="3" width="11.00390625" style="20" customWidth="1"/>
    <col min="4" max="4" width="14.140625" style="20" customWidth="1"/>
    <col min="5" max="5" width="23.7109375" style="20" customWidth="1"/>
    <col min="6" max="6" width="21.28125" style="20" customWidth="1"/>
    <col min="7" max="7" width="23.421875" style="20" customWidth="1"/>
    <col min="8" max="8" width="3.140625" style="20" customWidth="1"/>
    <col min="9" max="16384" width="9.140625" style="20" customWidth="1"/>
  </cols>
  <sheetData>
    <row r="1" spans="3:4" ht="15">
      <c r="C1" s="1088">
        <f ca="1">NOW()</f>
        <v>44650.39911342593</v>
      </c>
      <c r="D1" s="1088"/>
    </row>
    <row r="2" spans="3:7" ht="15">
      <c r="C2" s="644" t="s">
        <v>389</v>
      </c>
      <c r="D2" s="816" t="str">
        <f>+'Provider Information'!D21</f>
        <v>Area Agency on Aging of Deep East Texas</v>
      </c>
      <c r="E2" s="816"/>
      <c r="F2" s="816"/>
      <c r="G2" s="816"/>
    </row>
    <row r="3" spans="2:7" ht="18.75">
      <c r="B3" s="1138" t="str">
        <f>+'Provider Total Budget by Serv'!K4</f>
        <v>Transportation</v>
      </c>
      <c r="C3" s="1139"/>
      <c r="D3" s="1139"/>
      <c r="E3" s="1139"/>
      <c r="F3" s="1139"/>
      <c r="G3" s="1139"/>
    </row>
    <row r="4" spans="1:8" ht="15">
      <c r="A4" s="239"/>
      <c r="B4" s="1140" t="s">
        <v>40</v>
      </c>
      <c r="C4" s="1140"/>
      <c r="D4" s="1140"/>
      <c r="E4" s="1140"/>
      <c r="F4" s="1140"/>
      <c r="G4" s="1140"/>
      <c r="H4" s="239"/>
    </row>
    <row r="5" spans="2:5" ht="15">
      <c r="B5" s="20" t="s">
        <v>41</v>
      </c>
      <c r="C5" s="1135">
        <f>IF(ISBLANK('Provider Information'!F6),"",+'Provider Information'!F6)</f>
      </c>
      <c r="D5" s="1109"/>
      <c r="E5" s="1109"/>
    </row>
    <row r="7" spans="2:7" ht="15">
      <c r="B7" s="967" t="s">
        <v>42</v>
      </c>
      <c r="C7" s="967"/>
      <c r="D7" s="977">
        <f>+G25</f>
        <v>0</v>
      </c>
      <c r="E7" s="978"/>
      <c r="F7" s="36"/>
      <c r="G7" s="203"/>
    </row>
    <row r="9" spans="2:7" ht="15">
      <c r="B9" s="963" t="s">
        <v>449</v>
      </c>
      <c r="C9" s="963"/>
      <c r="D9" s="963"/>
      <c r="E9" s="963"/>
      <c r="F9" s="963"/>
      <c r="G9" s="963"/>
    </row>
    <row r="10" ht="15.75" thickBot="1"/>
    <row r="11" spans="2:7" ht="15.75" thickTop="1">
      <c r="B11" s="22"/>
      <c r="C11" s="23"/>
      <c r="D11" s="23"/>
      <c r="E11" s="24"/>
      <c r="F11" s="25"/>
      <c r="G11" s="26"/>
    </row>
    <row r="12" spans="2:7" ht="15">
      <c r="B12" s="981" t="s">
        <v>43</v>
      </c>
      <c r="C12" s="982"/>
      <c r="D12" s="982"/>
      <c r="E12" s="983"/>
      <c r="F12" s="27" t="s">
        <v>44</v>
      </c>
      <c r="G12" s="28" t="s">
        <v>75</v>
      </c>
    </row>
    <row r="13" spans="2:7" ht="15">
      <c r="B13" s="984"/>
      <c r="C13" s="985"/>
      <c r="D13" s="985"/>
      <c r="E13" s="986"/>
      <c r="F13" s="47"/>
      <c r="G13" s="44"/>
    </row>
    <row r="14" spans="2:7" ht="15">
      <c r="B14" s="970"/>
      <c r="C14" s="971"/>
      <c r="D14" s="971"/>
      <c r="E14" s="972"/>
      <c r="F14" s="43"/>
      <c r="G14" s="44"/>
    </row>
    <row r="15" spans="2:7" ht="15">
      <c r="B15" s="970"/>
      <c r="C15" s="971"/>
      <c r="D15" s="971"/>
      <c r="E15" s="972"/>
      <c r="F15" s="43"/>
      <c r="G15" s="44"/>
    </row>
    <row r="16" spans="2:7" ht="15">
      <c r="B16" s="970"/>
      <c r="C16" s="971"/>
      <c r="D16" s="971"/>
      <c r="E16" s="972"/>
      <c r="F16" s="43"/>
      <c r="G16" s="44"/>
    </row>
    <row r="17" spans="2:7" ht="15">
      <c r="B17" s="970"/>
      <c r="C17" s="971"/>
      <c r="D17" s="971"/>
      <c r="E17" s="972"/>
      <c r="F17" s="43"/>
      <c r="G17" s="44"/>
    </row>
    <row r="18" spans="2:7" ht="15">
      <c r="B18" s="970"/>
      <c r="C18" s="971"/>
      <c r="D18" s="971"/>
      <c r="E18" s="972"/>
      <c r="F18" s="43"/>
      <c r="G18" s="44"/>
    </row>
    <row r="19" spans="2:7" ht="15">
      <c r="B19" s="970"/>
      <c r="C19" s="971"/>
      <c r="D19" s="971"/>
      <c r="E19" s="972"/>
      <c r="F19" s="43"/>
      <c r="G19" s="44"/>
    </row>
    <row r="20" spans="2:10" ht="15">
      <c r="B20" s="970"/>
      <c r="C20" s="971"/>
      <c r="D20" s="971"/>
      <c r="E20" s="972"/>
      <c r="F20" s="43"/>
      <c r="G20" s="44"/>
      <c r="J20" s="29"/>
    </row>
    <row r="21" spans="2:7" ht="15">
      <c r="B21" s="970"/>
      <c r="C21" s="979"/>
      <c r="D21" s="979"/>
      <c r="E21" s="980"/>
      <c r="F21" s="43"/>
      <c r="G21" s="44"/>
    </row>
    <row r="22" spans="2:7" ht="15">
      <c r="B22" s="970"/>
      <c r="C22" s="971"/>
      <c r="D22" s="971"/>
      <c r="E22" s="972"/>
      <c r="F22" s="43"/>
      <c r="G22" s="44"/>
    </row>
    <row r="23" spans="2:7" ht="15">
      <c r="B23" s="970"/>
      <c r="C23" s="971"/>
      <c r="D23" s="971"/>
      <c r="E23" s="972"/>
      <c r="F23" s="43"/>
      <c r="G23" s="44"/>
    </row>
    <row r="24" spans="2:7" ht="15">
      <c r="B24" s="970"/>
      <c r="C24" s="971"/>
      <c r="D24" s="971"/>
      <c r="E24" s="972"/>
      <c r="F24" s="43"/>
      <c r="G24" s="44"/>
    </row>
    <row r="25" spans="2:7" ht="15.75" thickBot="1">
      <c r="B25" s="973"/>
      <c r="C25" s="974"/>
      <c r="D25" s="974"/>
      <c r="E25" s="975"/>
      <c r="F25" s="30" t="s">
        <v>45</v>
      </c>
      <c r="G25" s="31">
        <f>SUM(G13:G24)</f>
        <v>0</v>
      </c>
    </row>
    <row r="26" ht="15.75" thickTop="1"/>
    <row r="27" spans="2:7" ht="29.25" customHeight="1">
      <c r="B27" s="32" t="s">
        <v>46</v>
      </c>
      <c r="C27" s="1136" t="s">
        <v>47</v>
      </c>
      <c r="D27" s="1137"/>
      <c r="E27" s="1137"/>
      <c r="F27" s="1137"/>
      <c r="G27" s="29"/>
    </row>
    <row r="29" ht="15">
      <c r="B29" s="20" t="s">
        <v>48</v>
      </c>
    </row>
    <row r="31" spans="2:4" ht="15">
      <c r="B31" s="20" t="s">
        <v>49</v>
      </c>
      <c r="C31" s="34" t="s">
        <v>0</v>
      </c>
      <c r="D31" s="20" t="s">
        <v>50</v>
      </c>
    </row>
    <row r="32" spans="3:8" ht="33.75" customHeight="1">
      <c r="C32" s="35" t="s">
        <v>2</v>
      </c>
      <c r="D32" s="968" t="s">
        <v>76</v>
      </c>
      <c r="E32" s="968"/>
      <c r="F32" s="968"/>
      <c r="G32" s="968"/>
      <c r="H32" s="33"/>
    </row>
    <row r="34" spans="2:14" ht="15">
      <c r="B34" s="20" t="s">
        <v>51</v>
      </c>
      <c r="C34" s="34" t="s">
        <v>0</v>
      </c>
      <c r="D34" s="20" t="s">
        <v>52</v>
      </c>
      <c r="J34" s="968"/>
      <c r="K34" s="968"/>
      <c r="L34" s="968"/>
      <c r="M34" s="968"/>
      <c r="N34" s="968"/>
    </row>
    <row r="35" spans="3:7" ht="32.25" customHeight="1">
      <c r="C35" s="35" t="s">
        <v>2</v>
      </c>
      <c r="D35" s="1136" t="s">
        <v>110</v>
      </c>
      <c r="E35" s="1137"/>
      <c r="F35" s="1137"/>
      <c r="G35" s="1137"/>
    </row>
    <row r="36" spans="3:7" ht="15">
      <c r="C36" s="36"/>
      <c r="D36" s="37"/>
      <c r="E36" s="37"/>
      <c r="F36" s="37"/>
      <c r="G36" s="37"/>
    </row>
    <row r="37" spans="3:6" ht="15">
      <c r="C37" s="36"/>
      <c r="F37" s="21"/>
    </row>
    <row r="38" ht="15">
      <c r="B38" s="38" t="s">
        <v>77</v>
      </c>
    </row>
    <row r="39" ht="15">
      <c r="B39" s="38" t="s">
        <v>53</v>
      </c>
    </row>
    <row r="41" spans="2:4" ht="15">
      <c r="B41" s="20" t="s">
        <v>54</v>
      </c>
      <c r="C41" s="34" t="s">
        <v>0</v>
      </c>
      <c r="D41" s="20" t="s">
        <v>55</v>
      </c>
    </row>
    <row r="42" spans="3:4" ht="15">
      <c r="C42" s="34" t="s">
        <v>2</v>
      </c>
      <c r="D42" s="37" t="s">
        <v>56</v>
      </c>
    </row>
    <row r="44" spans="2:9" ht="64.5" customHeight="1">
      <c r="B44" s="962">
        <f>+'Transportation Budget'!C2</f>
        <v>0</v>
      </c>
      <c r="C44" s="962"/>
      <c r="D44" s="962"/>
      <c r="E44" s="40"/>
      <c r="F44" s="961">
        <f>'Provider Information'!$F$13</f>
        <v>0</v>
      </c>
      <c r="G44" s="961"/>
      <c r="I44" s="40"/>
    </row>
    <row r="45" spans="1:9" ht="15">
      <c r="A45" s="37"/>
      <c r="B45" s="965" t="s">
        <v>57</v>
      </c>
      <c r="C45" s="965"/>
      <c r="D45" s="965"/>
      <c r="E45" s="41"/>
      <c r="F45" s="964" t="s">
        <v>34</v>
      </c>
      <c r="G45" s="964"/>
      <c r="I45" s="42"/>
    </row>
    <row r="47" spans="2:9" ht="15">
      <c r="B47" s="966"/>
      <c r="C47" s="966"/>
      <c r="D47" s="966"/>
      <c r="E47" s="40"/>
      <c r="F47" s="1051"/>
      <c r="G47" s="1051"/>
      <c r="I47" s="40"/>
    </row>
    <row r="48" spans="2:9" ht="15">
      <c r="B48" s="964" t="s">
        <v>36</v>
      </c>
      <c r="C48" s="965"/>
      <c r="D48" s="965"/>
      <c r="E48" s="21"/>
      <c r="F48" s="964" t="s">
        <v>35</v>
      </c>
      <c r="G48" s="964"/>
      <c r="I48" s="19"/>
    </row>
    <row r="49" spans="2:9" ht="15">
      <c r="B49" s="21"/>
      <c r="C49" s="21"/>
      <c r="D49" s="21"/>
      <c r="E49" s="21"/>
      <c r="G49" s="19"/>
      <c r="H49" s="19"/>
      <c r="I49" s="19"/>
    </row>
    <row r="50" spans="2:8" ht="15">
      <c r="B50" s="963"/>
      <c r="C50" s="963"/>
      <c r="D50" s="963"/>
      <c r="E50" s="963"/>
      <c r="F50" s="963"/>
      <c r="G50" s="963"/>
      <c r="H50" s="963"/>
    </row>
  </sheetData>
  <sheetProtection sheet="1" formatCells="0" formatColumns="0" formatRows="0"/>
  <mergeCells count="35">
    <mergeCell ref="J34:N34"/>
    <mergeCell ref="D35:G35"/>
    <mergeCell ref="B22:E22"/>
    <mergeCell ref="B23:E23"/>
    <mergeCell ref="B24:E24"/>
    <mergeCell ref="B25:E25"/>
    <mergeCell ref="B20:E20"/>
    <mergeCell ref="F47:G47"/>
    <mergeCell ref="B9:G9"/>
    <mergeCell ref="B12:E12"/>
    <mergeCell ref="B13:E13"/>
    <mergeCell ref="C1:D1"/>
    <mergeCell ref="D2:G2"/>
    <mergeCell ref="B3:G3"/>
    <mergeCell ref="B4:G4"/>
    <mergeCell ref="B50:H50"/>
    <mergeCell ref="B48:D48"/>
    <mergeCell ref="F48:G48"/>
    <mergeCell ref="C5:E5"/>
    <mergeCell ref="B7:C7"/>
    <mergeCell ref="B45:D45"/>
    <mergeCell ref="F45:G45"/>
    <mergeCell ref="C27:F27"/>
    <mergeCell ref="D32:G32"/>
    <mergeCell ref="B18:E18"/>
    <mergeCell ref="B47:D47"/>
    <mergeCell ref="F44:G44"/>
    <mergeCell ref="B44:D44"/>
    <mergeCell ref="D7:E7"/>
    <mergeCell ref="B21:E21"/>
    <mergeCell ref="B14:E14"/>
    <mergeCell ref="B15:E15"/>
    <mergeCell ref="B16:E16"/>
    <mergeCell ref="B17:E17"/>
    <mergeCell ref="B19:E19"/>
  </mergeCells>
  <dataValidations count="2">
    <dataValidation operator="greaterThan" allowBlank="1" showInputMessage="1" showErrorMessage="1" sqref="F13:F24"/>
    <dataValidation type="decimal" allowBlank="1" showInputMessage="1" showErrorMessage="1" sqref="G13:G24">
      <formula1>0</formula1>
      <formula2>15000000</formula2>
    </dataValidation>
  </dataValidations>
  <hyperlinks>
    <hyperlink ref="C27" r:id="rId1" display="http://www.irs.gov/pub/irs-pdf/p561.pdf"/>
  </hyperlinks>
  <printOptions/>
  <pageMargins left="0.7" right="0.7" top="0.75" bottom="0.75" header="0.3" footer="0.3"/>
  <pageSetup fitToHeight="1" fitToWidth="1" horizontalDpi="600" verticalDpi="600" orientation="portrait" paperSize="5" scale="86" r:id="rId2"/>
</worksheet>
</file>

<file path=xl/worksheets/sheet3.xml><?xml version="1.0" encoding="utf-8"?>
<worksheet xmlns="http://schemas.openxmlformats.org/spreadsheetml/2006/main" xmlns:r="http://schemas.openxmlformats.org/officeDocument/2006/relationships">
  <sheetPr>
    <tabColor rgb="FFFFFF00"/>
  </sheetPr>
  <dimension ref="B1:H20"/>
  <sheetViews>
    <sheetView showGridLines="0" zoomScale="110" zoomScaleNormal="110" zoomScalePageLayoutView="0" workbookViewId="0" topLeftCell="A1">
      <selection activeCell="C3" sqref="C3"/>
    </sheetView>
  </sheetViews>
  <sheetFormatPr defaultColWidth="9.140625" defaultRowHeight="12.75"/>
  <cols>
    <col min="1" max="1" width="5.57421875" style="2" customWidth="1"/>
    <col min="2" max="2" width="32.57421875" style="759" customWidth="1"/>
    <col min="3" max="3" width="35.28125" style="759" customWidth="1"/>
    <col min="4" max="7" width="3.57421875" style="759" customWidth="1"/>
    <col min="8" max="245" width="9.140625" style="2" customWidth="1"/>
    <col min="246" max="16384" width="9.140625" style="759" customWidth="1"/>
  </cols>
  <sheetData>
    <row r="1" s="2" customFormat="1" ht="12.75">
      <c r="B1" s="682">
        <f ca="1">NOW()</f>
        <v>44650.39911342593</v>
      </c>
    </row>
    <row r="2" spans="2:3" s="2" customFormat="1" ht="12.75">
      <c r="B2" s="367" t="s">
        <v>26</v>
      </c>
      <c r="C2" s="678">
        <f>IF(ISBLANK('Provider Information'!F6),"",+'Provider Information'!F6)</f>
      </c>
    </row>
    <row r="3" spans="2:3" s="2" customFormat="1" ht="12.75">
      <c r="B3" s="644" t="s">
        <v>389</v>
      </c>
      <c r="C3" s="678" t="str">
        <f>+'Provider Information'!D21</f>
        <v>Area Agency on Aging of Deep East Texas</v>
      </c>
    </row>
    <row r="4" spans="2:3" s="2" customFormat="1" ht="12.75">
      <c r="B4" s="722" t="s">
        <v>390</v>
      </c>
      <c r="C4" s="678" t="str">
        <f>+'Provider Information'!E26</f>
        <v>Region 5</v>
      </c>
    </row>
    <row r="5" spans="2:3" s="2" customFormat="1" ht="12.75">
      <c r="B5" s="722" t="s">
        <v>445</v>
      </c>
      <c r="C5" s="678">
        <f>+'Provider Information'!B5</f>
      </c>
    </row>
    <row r="6" s="2" customFormat="1" ht="4.5" customHeight="1">
      <c r="B6" s="722"/>
    </row>
    <row r="7" spans="2:7" s="2" customFormat="1" ht="18">
      <c r="B7" s="808" t="s">
        <v>446</v>
      </c>
      <c r="C7" s="808"/>
      <c r="D7" s="808"/>
      <c r="E7" s="808"/>
      <c r="F7" s="808"/>
      <c r="G7" s="808"/>
    </row>
    <row r="8" spans="2:3" s="2" customFormat="1" ht="4.5" customHeight="1">
      <c r="B8" s="758"/>
      <c r="C8" s="758"/>
    </row>
    <row r="9" spans="2:8" s="2" customFormat="1" ht="12.75" customHeight="1">
      <c r="B9" s="807" t="s">
        <v>452</v>
      </c>
      <c r="C9" s="807"/>
      <c r="D9" s="807"/>
      <c r="E9" s="807"/>
      <c r="F9" s="807"/>
      <c r="G9" s="807"/>
      <c r="H9" s="760"/>
    </row>
    <row r="10" spans="2:8" s="2" customFormat="1" ht="12.75">
      <c r="B10" s="807"/>
      <c r="C10" s="807"/>
      <c r="D10" s="807"/>
      <c r="E10" s="807"/>
      <c r="F10" s="807"/>
      <c r="G10" s="807"/>
      <c r="H10" s="760"/>
    </row>
    <row r="11" spans="2:8" s="2" customFormat="1" ht="12.75">
      <c r="B11" s="760"/>
      <c r="C11" s="760"/>
      <c r="D11" s="760"/>
      <c r="E11" s="760"/>
      <c r="F11" s="760"/>
      <c r="G11" s="760"/>
      <c r="H11" s="760"/>
    </row>
    <row r="12" spans="2:7" s="2" customFormat="1" ht="12.75" customHeight="1">
      <c r="B12" s="807" t="s">
        <v>448</v>
      </c>
      <c r="C12" s="807"/>
      <c r="D12" s="807"/>
      <c r="E12" s="807"/>
      <c r="F12" s="807"/>
      <c r="G12" s="807"/>
    </row>
    <row r="13" spans="2:7" s="2" customFormat="1" ht="76.5" customHeight="1">
      <c r="B13" s="807"/>
      <c r="C13" s="807"/>
      <c r="D13" s="807"/>
      <c r="E13" s="807"/>
      <c r="F13" s="807"/>
      <c r="G13" s="807"/>
    </row>
    <row r="14" s="2" customFormat="1" ht="8.25" customHeight="1"/>
    <row r="15" spans="2:7" s="2" customFormat="1" ht="12.75">
      <c r="B15" s="809" t="s">
        <v>447</v>
      </c>
      <c r="C15" s="810"/>
      <c r="D15" s="810"/>
      <c r="E15" s="810"/>
      <c r="F15" s="810"/>
      <c r="G15" s="811"/>
    </row>
    <row r="16" spans="2:7" ht="91.5" customHeight="1">
      <c r="B16" s="812"/>
      <c r="C16" s="813"/>
      <c r="D16" s="813"/>
      <c r="E16" s="813"/>
      <c r="F16" s="813"/>
      <c r="G16" s="814"/>
    </row>
    <row r="17" spans="2:7" s="2" customFormat="1" ht="12.75" customHeight="1">
      <c r="B17" s="801" t="s">
        <v>451</v>
      </c>
      <c r="C17" s="802"/>
      <c r="D17" s="802"/>
      <c r="E17" s="802"/>
      <c r="F17" s="802"/>
      <c r="G17" s="803"/>
    </row>
    <row r="18" spans="2:7" s="2" customFormat="1" ht="95.25" customHeight="1">
      <c r="B18" s="801"/>
      <c r="C18" s="802"/>
      <c r="D18" s="802"/>
      <c r="E18" s="802"/>
      <c r="F18" s="802"/>
      <c r="G18" s="803"/>
    </row>
    <row r="19" spans="2:7" s="2" customFormat="1" ht="12.75" customHeight="1">
      <c r="B19" s="801" t="s">
        <v>450</v>
      </c>
      <c r="C19" s="802"/>
      <c r="D19" s="802"/>
      <c r="E19" s="802"/>
      <c r="F19" s="802"/>
      <c r="G19" s="803"/>
    </row>
    <row r="20" spans="2:7" ht="95.25" customHeight="1">
      <c r="B20" s="804"/>
      <c r="C20" s="805"/>
      <c r="D20" s="805"/>
      <c r="E20" s="805"/>
      <c r="F20" s="805"/>
      <c r="G20" s="806"/>
    </row>
    <row r="21" s="2" customFormat="1" ht="12.75"/>
    <row r="22" s="2" customFormat="1" ht="12.75"/>
    <row r="23" s="2" customFormat="1" ht="12.75"/>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row r="437" s="2" customFormat="1" ht="12.75"/>
    <row r="438" s="2" customFormat="1" ht="12.75"/>
    <row r="439" s="2" customFormat="1" ht="12.75"/>
    <row r="440" s="2" customFormat="1" ht="12.75"/>
    <row r="441" s="2" customFormat="1" ht="12.75"/>
    <row r="442" s="2" customFormat="1" ht="12.75"/>
    <row r="443" s="2" customFormat="1" ht="12.75"/>
    <row r="444" s="2" customFormat="1" ht="12.75"/>
    <row r="445" s="2" customFormat="1" ht="12.75"/>
    <row r="446" s="2" customFormat="1" ht="12.75"/>
    <row r="447" s="2" customFormat="1" ht="12.75"/>
    <row r="448" s="2" customFormat="1" ht="12.75"/>
    <row r="449" s="2" customFormat="1" ht="12.75"/>
    <row r="450" s="2" customFormat="1" ht="12.75"/>
    <row r="451" s="2" customFormat="1" ht="12.75"/>
    <row r="452" s="2" customFormat="1" ht="12.75"/>
    <row r="453" s="2" customFormat="1" ht="12.75"/>
    <row r="454" s="2" customFormat="1" ht="12.75"/>
    <row r="455" s="2" customFormat="1" ht="12.75"/>
    <row r="456" s="2" customFormat="1" ht="12.75"/>
    <row r="457" s="2" customFormat="1" ht="12.75"/>
    <row r="458" s="2" customFormat="1" ht="12.75"/>
    <row r="459" s="2" customFormat="1" ht="12.75"/>
    <row r="460" s="2" customFormat="1" ht="12.75"/>
    <row r="461" s="2" customFormat="1" ht="12.75"/>
    <row r="462" s="2" customFormat="1" ht="12.75"/>
    <row r="463" s="2" customFormat="1" ht="12.75"/>
    <row r="464" s="2" customFormat="1" ht="12.75"/>
    <row r="465" s="2" customFormat="1" ht="12.75"/>
    <row r="466" s="2" customFormat="1" ht="12.75"/>
    <row r="467" s="2" customFormat="1" ht="12.75"/>
    <row r="468" s="2" customFormat="1" ht="12.75"/>
    <row r="469" s="2" customFormat="1" ht="12.75"/>
    <row r="470" s="2" customFormat="1" ht="12.75"/>
    <row r="471" s="2" customFormat="1" ht="12.75"/>
    <row r="472" s="2" customFormat="1" ht="12.75"/>
    <row r="473" s="2" customFormat="1" ht="12.75"/>
    <row r="474" s="2" customFormat="1" ht="12.75"/>
    <row r="475" s="2" customFormat="1" ht="12.75"/>
    <row r="476" s="2" customFormat="1" ht="12.75"/>
    <row r="477" s="2" customFormat="1" ht="12.75"/>
    <row r="478" s="2" customFormat="1" ht="12.75"/>
    <row r="479" s="2" customFormat="1" ht="12.75"/>
    <row r="480" s="2" customFormat="1" ht="12.75"/>
    <row r="481" s="2" customFormat="1" ht="12.75"/>
    <row r="482" s="2" customFormat="1" ht="12.75"/>
    <row r="483" s="2" customFormat="1" ht="12.75"/>
    <row r="484" s="2" customFormat="1" ht="12.75"/>
    <row r="485" s="2" customFormat="1" ht="12.75"/>
    <row r="486" s="2" customFormat="1" ht="12.75"/>
    <row r="487" s="2" customFormat="1" ht="12.75"/>
    <row r="488" s="2" customFormat="1" ht="12.75"/>
    <row r="489" s="2" customFormat="1" ht="12.75"/>
    <row r="490" s="2" customFormat="1" ht="12.75"/>
    <row r="491" s="2" customFormat="1" ht="12.75"/>
    <row r="492" s="2" customFormat="1" ht="12.75"/>
    <row r="493" s="2" customFormat="1" ht="12.75"/>
    <row r="494" s="2" customFormat="1" ht="12.75"/>
    <row r="495" s="2" customFormat="1" ht="12.75"/>
    <row r="496" s="2" customFormat="1" ht="12.75"/>
    <row r="497" s="2" customFormat="1" ht="12.75"/>
    <row r="498" s="2" customFormat="1" ht="12.75"/>
    <row r="499" s="2" customFormat="1" ht="12.75"/>
    <row r="500" s="2" customFormat="1" ht="12.75"/>
    <row r="501" s="2" customFormat="1" ht="12.75"/>
    <row r="502" s="2" customFormat="1" ht="12.75"/>
    <row r="503" s="2" customFormat="1" ht="12.75"/>
    <row r="504" s="2" customFormat="1" ht="12.75"/>
    <row r="505" s="2" customFormat="1" ht="12.75"/>
    <row r="506" s="2" customFormat="1" ht="12.75"/>
    <row r="507" s="2" customFormat="1" ht="12.75"/>
    <row r="508" s="2" customFormat="1" ht="12.75"/>
    <row r="509" s="2" customFormat="1" ht="12.75"/>
    <row r="510" s="2" customFormat="1" ht="12.75"/>
    <row r="511" s="2" customFormat="1" ht="12.75"/>
    <row r="512" s="2" customFormat="1" ht="12.75"/>
    <row r="513" s="2" customFormat="1" ht="12.75"/>
    <row r="514" s="2" customFormat="1" ht="12.75"/>
    <row r="515" s="2" customFormat="1" ht="12.75"/>
    <row r="516" s="2" customFormat="1" ht="12.75"/>
    <row r="517" s="2" customFormat="1" ht="12.75"/>
    <row r="518" s="2" customFormat="1" ht="12.75"/>
    <row r="519" s="2" customFormat="1" ht="12.75"/>
    <row r="520" s="2" customFormat="1" ht="12.75"/>
    <row r="521" s="2" customFormat="1" ht="12.75"/>
    <row r="522" s="2" customFormat="1" ht="12.75"/>
    <row r="523" s="2" customFormat="1" ht="12.75"/>
    <row r="524" s="2" customFormat="1" ht="12.75"/>
    <row r="525" s="2" customFormat="1" ht="12.75"/>
    <row r="526" s="2" customFormat="1" ht="12.75"/>
    <row r="527" s="2" customFormat="1" ht="12.75"/>
    <row r="528" s="2" customFormat="1" ht="12.75"/>
    <row r="529" s="2" customFormat="1" ht="12.75"/>
    <row r="530" s="2" customFormat="1" ht="12.75"/>
    <row r="531" s="2" customFormat="1" ht="12.75"/>
    <row r="532" s="2" customFormat="1" ht="12.75"/>
    <row r="533" s="2" customFormat="1" ht="12.75"/>
    <row r="534" s="2" customFormat="1" ht="12.75"/>
    <row r="535" s="2" customFormat="1" ht="12.75"/>
    <row r="536" s="2" customFormat="1" ht="12.75"/>
    <row r="537" s="2" customFormat="1" ht="12.75"/>
    <row r="538" s="2" customFormat="1" ht="12.75"/>
    <row r="539" s="2" customFormat="1" ht="12.75"/>
    <row r="540" s="2" customFormat="1" ht="12.75"/>
    <row r="541" s="2" customFormat="1" ht="12.75"/>
    <row r="542" s="2" customFormat="1" ht="12.75"/>
    <row r="543" s="2" customFormat="1" ht="12.75"/>
    <row r="544" s="2" customFormat="1" ht="12.75"/>
    <row r="545" s="2" customFormat="1" ht="12.75"/>
    <row r="546" s="2" customFormat="1" ht="12.75"/>
    <row r="547" s="2" customFormat="1" ht="12.75"/>
    <row r="548" s="2" customFormat="1" ht="12.75"/>
    <row r="549" s="2" customFormat="1" ht="12.75"/>
    <row r="550" s="2" customFormat="1" ht="12.75"/>
    <row r="551" s="2" customFormat="1" ht="12.75"/>
    <row r="552" s="2" customFormat="1" ht="12.75"/>
    <row r="553" s="2" customFormat="1" ht="12.75"/>
    <row r="554" s="2" customFormat="1" ht="12.75"/>
    <row r="555" s="2" customFormat="1" ht="12.75"/>
    <row r="556" s="2" customFormat="1" ht="12.75"/>
    <row r="557" s="2" customFormat="1" ht="12.75"/>
    <row r="558" s="2" customFormat="1" ht="12.75"/>
    <row r="559" s="2" customFormat="1" ht="12.75"/>
    <row r="560" s="2" customFormat="1" ht="12.75"/>
    <row r="561" s="2" customFormat="1" ht="12.75"/>
    <row r="562" s="2" customFormat="1" ht="12.75"/>
    <row r="563" s="2" customFormat="1" ht="12.75"/>
    <row r="564" s="2" customFormat="1" ht="12.75"/>
    <row r="565" s="2" customFormat="1" ht="12.75"/>
    <row r="566" s="2" customFormat="1" ht="12.75"/>
    <row r="567" s="2" customFormat="1" ht="12.75"/>
    <row r="568" s="2" customFormat="1" ht="12.75"/>
    <row r="569" s="2" customFormat="1" ht="12.75"/>
    <row r="570" s="2" customFormat="1" ht="12.75"/>
    <row r="571" s="2" customFormat="1" ht="12.75"/>
    <row r="572" s="2" customFormat="1" ht="12.75"/>
    <row r="573" s="2" customFormat="1" ht="12.75"/>
    <row r="574" s="2" customFormat="1" ht="12.75"/>
    <row r="575" s="2" customFormat="1" ht="12.75"/>
    <row r="576" s="2" customFormat="1" ht="12.75"/>
    <row r="577" s="2" customFormat="1" ht="12.75"/>
    <row r="578" s="2" customFormat="1" ht="12.75"/>
    <row r="579" s="2" customFormat="1" ht="12.75"/>
    <row r="580" s="2" customFormat="1" ht="12.75"/>
    <row r="581" s="2" customFormat="1" ht="12.75"/>
    <row r="582" s="2" customFormat="1" ht="12.75"/>
    <row r="583" s="2" customFormat="1" ht="12.75"/>
    <row r="584" s="2" customFormat="1" ht="12.75"/>
    <row r="585" s="2" customFormat="1" ht="12.75"/>
    <row r="586" s="2" customFormat="1" ht="12.75"/>
    <row r="587" s="2" customFormat="1" ht="12.75"/>
    <row r="588" s="2" customFormat="1" ht="12.75"/>
    <row r="589" s="2" customFormat="1" ht="12.75"/>
    <row r="590" s="2" customFormat="1" ht="12.75"/>
    <row r="591" s="2" customFormat="1" ht="12.75"/>
    <row r="592" s="2" customFormat="1" ht="12.75"/>
    <row r="593" s="2" customFormat="1" ht="12.75"/>
    <row r="594" s="2" customFormat="1" ht="12.75"/>
    <row r="595" s="2" customFormat="1" ht="12.75"/>
    <row r="596" s="2" customFormat="1" ht="12.75"/>
    <row r="597" s="2" customFormat="1" ht="12.75"/>
    <row r="598" s="2" customFormat="1" ht="12.75"/>
    <row r="599" s="2" customFormat="1" ht="12.75"/>
    <row r="600" s="2" customFormat="1" ht="12.75"/>
    <row r="601" s="2" customFormat="1" ht="12.75"/>
    <row r="602" s="2" customFormat="1" ht="12.75"/>
    <row r="603" s="2" customFormat="1" ht="12.75"/>
    <row r="604" s="2" customFormat="1" ht="12.75"/>
    <row r="605" s="2" customFormat="1" ht="12.75"/>
    <row r="606" s="2" customFormat="1" ht="12.75"/>
    <row r="607" s="2" customFormat="1" ht="12.75"/>
    <row r="608" s="2" customFormat="1" ht="12.75"/>
    <row r="609" s="2" customFormat="1" ht="12.75"/>
    <row r="610" s="2" customFormat="1" ht="12.75"/>
    <row r="611" s="2" customFormat="1" ht="12.75"/>
    <row r="612" s="2" customFormat="1" ht="12.75"/>
    <row r="613" s="2" customFormat="1" ht="12.75"/>
    <row r="614" s="2" customFormat="1" ht="12.75"/>
    <row r="615" s="2" customFormat="1" ht="12.75"/>
    <row r="616" s="2" customFormat="1" ht="12.75"/>
    <row r="617" s="2" customFormat="1" ht="12.75"/>
    <row r="618" s="2" customFormat="1" ht="12.75"/>
    <row r="619" s="2" customFormat="1" ht="12.75"/>
    <row r="620" s="2" customFormat="1" ht="12.75"/>
    <row r="621" s="2" customFormat="1" ht="12.75"/>
    <row r="622" s="2" customFormat="1" ht="12.75"/>
    <row r="623" s="2" customFormat="1" ht="12.75"/>
    <row r="624" s="2" customFormat="1" ht="12.75"/>
    <row r="625" s="2" customFormat="1" ht="12.75"/>
    <row r="626" s="2" customFormat="1" ht="12.75"/>
    <row r="627" s="2" customFormat="1" ht="12.75"/>
    <row r="628" s="2" customFormat="1" ht="12.75"/>
    <row r="629" s="2" customFormat="1" ht="12.75"/>
    <row r="630" s="2" customFormat="1" ht="12.75"/>
    <row r="631" s="2" customFormat="1" ht="12.75"/>
    <row r="632" s="2" customFormat="1" ht="12.75"/>
    <row r="633" s="2" customFormat="1" ht="12.75"/>
    <row r="634" s="2" customFormat="1" ht="12.75"/>
    <row r="635" s="2" customFormat="1" ht="12.75"/>
    <row r="636" s="2" customFormat="1" ht="12.75"/>
    <row r="637" s="2" customFormat="1" ht="12.75"/>
    <row r="638" s="2" customFormat="1" ht="12.75"/>
    <row r="639" s="2" customFormat="1" ht="12.75"/>
    <row r="640" s="2" customFormat="1" ht="12.75"/>
    <row r="641" s="2" customFormat="1" ht="12.75"/>
    <row r="642" s="2" customFormat="1" ht="12.75"/>
    <row r="643" s="2" customFormat="1" ht="12.75"/>
    <row r="644" s="2" customFormat="1" ht="12.75"/>
    <row r="645" s="2" customFormat="1" ht="12.75"/>
    <row r="646" s="2" customFormat="1" ht="12.75"/>
    <row r="647" s="2" customFormat="1" ht="12.75"/>
    <row r="648" s="2" customFormat="1" ht="12.75"/>
    <row r="649" s="2" customFormat="1" ht="12.75"/>
    <row r="650" s="2" customFormat="1" ht="12.75"/>
    <row r="651" s="2" customFormat="1" ht="12.75"/>
    <row r="652" s="2" customFormat="1" ht="12.75"/>
    <row r="653" s="2" customFormat="1" ht="12.75"/>
    <row r="654" s="2" customFormat="1" ht="12.75"/>
    <row r="655" s="2" customFormat="1" ht="12.75"/>
    <row r="656" s="2" customFormat="1" ht="12.75"/>
    <row r="657" s="2" customFormat="1" ht="12.75"/>
    <row r="658" s="2" customFormat="1" ht="12.75"/>
    <row r="659" s="2" customFormat="1" ht="12.75"/>
    <row r="660" s="2" customFormat="1" ht="12.75"/>
    <row r="661" s="2" customFormat="1" ht="12.75"/>
    <row r="662" s="2" customFormat="1" ht="12.75"/>
    <row r="663" s="2" customFormat="1" ht="12.75"/>
    <row r="664" s="2" customFormat="1" ht="12.75"/>
    <row r="665" s="2" customFormat="1" ht="12.75"/>
    <row r="666" s="2" customFormat="1" ht="12.75"/>
    <row r="667" s="2" customFormat="1" ht="12.75"/>
    <row r="668" s="2" customFormat="1" ht="12.75"/>
    <row r="669" s="2" customFormat="1" ht="12.75"/>
    <row r="670" s="2" customFormat="1" ht="12.75"/>
    <row r="671" s="2" customFormat="1" ht="12.75"/>
    <row r="672" s="2" customFormat="1" ht="12.75"/>
    <row r="673" s="2" customFormat="1" ht="12.75"/>
    <row r="674" s="2" customFormat="1" ht="12.75"/>
    <row r="675" s="2" customFormat="1" ht="12.75"/>
    <row r="676" s="2" customFormat="1" ht="12.75"/>
    <row r="677" s="2" customFormat="1" ht="12.75"/>
    <row r="678" s="2" customFormat="1" ht="12.75"/>
    <row r="679" s="2" customFormat="1" ht="12.75"/>
    <row r="680" s="2" customFormat="1" ht="12.75"/>
    <row r="681" s="2" customFormat="1" ht="12.75"/>
    <row r="682" s="2" customFormat="1" ht="12.75"/>
    <row r="683" s="2" customFormat="1" ht="12.75"/>
    <row r="684" s="2" customFormat="1" ht="12.75"/>
    <row r="685" s="2" customFormat="1" ht="12.75"/>
    <row r="686" s="2" customFormat="1" ht="12.75"/>
    <row r="687" s="2" customFormat="1" ht="12.75"/>
    <row r="688" s="2" customFormat="1" ht="12.75"/>
    <row r="689" s="2" customFormat="1" ht="12.75"/>
    <row r="690" s="2" customFormat="1" ht="12.75"/>
    <row r="691" s="2" customFormat="1" ht="12.75"/>
    <row r="692" s="2" customFormat="1" ht="12.75"/>
    <row r="693" s="2" customFormat="1" ht="12.75"/>
    <row r="694" s="2" customFormat="1" ht="12.75"/>
    <row r="695" s="2" customFormat="1" ht="12.75"/>
    <row r="696" s="2" customFormat="1" ht="12.75"/>
    <row r="697" s="2" customFormat="1" ht="12.75"/>
    <row r="698" s="2" customFormat="1" ht="12.75"/>
    <row r="699" s="2" customFormat="1" ht="12.75"/>
    <row r="700" s="2" customFormat="1" ht="12.75"/>
    <row r="701" s="2" customFormat="1" ht="12.75"/>
    <row r="702" s="2" customFormat="1" ht="12.75"/>
    <row r="703" s="2" customFormat="1" ht="12.75"/>
    <row r="704" s="2" customFormat="1" ht="12.75"/>
    <row r="705" s="2" customFormat="1" ht="12.75"/>
    <row r="706" s="2" customFormat="1" ht="12.75"/>
    <row r="707" s="2" customFormat="1" ht="12.75"/>
    <row r="708" s="2" customFormat="1" ht="12.75"/>
    <row r="709" s="2" customFormat="1" ht="12.75"/>
    <row r="710" s="2" customFormat="1" ht="12.75"/>
    <row r="711" s="2" customFormat="1" ht="12.75"/>
    <row r="712" s="2" customFormat="1" ht="12.75"/>
    <row r="713" s="2" customFormat="1" ht="12.75"/>
    <row r="714" s="2" customFormat="1" ht="12.75"/>
    <row r="715" s="2" customFormat="1" ht="12.75"/>
    <row r="716" s="2" customFormat="1" ht="12.75"/>
    <row r="717" s="2" customFormat="1" ht="12.75"/>
    <row r="718" s="2" customFormat="1" ht="12.75"/>
    <row r="719" s="2" customFormat="1" ht="12.75"/>
    <row r="720" s="2" customFormat="1" ht="12.75"/>
    <row r="721" s="2" customFormat="1" ht="12.75"/>
    <row r="722" s="2" customFormat="1" ht="12.75"/>
    <row r="723" s="2" customFormat="1" ht="12.75"/>
    <row r="724" s="2" customFormat="1" ht="12.75"/>
    <row r="725" s="2" customFormat="1" ht="12.75"/>
    <row r="726" s="2" customFormat="1" ht="12.75"/>
    <row r="727" s="2" customFormat="1" ht="12.75"/>
    <row r="728" s="2" customFormat="1" ht="12.75"/>
    <row r="729" s="2" customFormat="1" ht="12.75"/>
    <row r="730" s="2" customFormat="1" ht="12.75"/>
    <row r="731" s="2" customFormat="1" ht="12.75"/>
    <row r="732" s="2" customFormat="1" ht="12.75"/>
    <row r="733" s="2" customFormat="1" ht="12.75"/>
    <row r="734" s="2" customFormat="1" ht="12.75"/>
    <row r="735" s="2" customFormat="1" ht="12.75"/>
    <row r="736" s="2" customFormat="1" ht="12.75"/>
    <row r="737" s="2" customFormat="1" ht="12.75"/>
    <row r="738" s="2" customFormat="1" ht="12.75"/>
    <row r="739" s="2" customFormat="1" ht="12.75"/>
    <row r="740" s="2" customFormat="1" ht="12.75"/>
    <row r="741" s="2" customFormat="1" ht="12.75"/>
    <row r="742" s="2" customFormat="1" ht="12.75"/>
    <row r="743" s="2" customFormat="1" ht="12.75"/>
    <row r="744" s="2" customFormat="1" ht="12.75"/>
    <row r="745" s="2" customFormat="1" ht="12.75"/>
    <row r="746" s="2" customFormat="1" ht="12.75"/>
    <row r="747" s="2" customFormat="1" ht="12.75"/>
    <row r="748" s="2" customFormat="1" ht="12.75"/>
    <row r="749" s="2" customFormat="1" ht="12.75"/>
    <row r="750" s="2" customFormat="1" ht="12.75"/>
    <row r="751" s="2" customFormat="1" ht="12.75"/>
    <row r="752" s="2" customFormat="1" ht="12.75"/>
    <row r="753" s="2" customFormat="1" ht="12.75"/>
    <row r="754" s="2" customFormat="1" ht="12.75"/>
    <row r="755" s="2" customFormat="1" ht="12.75"/>
    <row r="756" s="2" customFormat="1" ht="12.75"/>
    <row r="757" s="2" customFormat="1" ht="12.75"/>
    <row r="758" s="2" customFormat="1" ht="12.75"/>
    <row r="759" s="2" customFormat="1" ht="12.75"/>
    <row r="760" s="2" customFormat="1" ht="12.75"/>
    <row r="761" s="2" customFormat="1" ht="12.75"/>
    <row r="762" s="2" customFormat="1" ht="12.75"/>
    <row r="763" s="2" customFormat="1" ht="12.75"/>
    <row r="764" s="2" customFormat="1" ht="12.75"/>
    <row r="765" s="2" customFormat="1" ht="12.75"/>
    <row r="766" s="2" customFormat="1" ht="12.75"/>
    <row r="767" s="2" customFormat="1" ht="12.75"/>
    <row r="768" s="2" customFormat="1" ht="12.75"/>
    <row r="769" s="2" customFormat="1" ht="12.75"/>
    <row r="770" s="2" customFormat="1" ht="12.75"/>
    <row r="771" s="2" customFormat="1" ht="12.75"/>
    <row r="772" s="2" customFormat="1" ht="12.75"/>
    <row r="773" s="2" customFormat="1" ht="12.75"/>
    <row r="774" s="2" customFormat="1" ht="12.75"/>
    <row r="775" s="2" customFormat="1" ht="12.75"/>
    <row r="776" s="2" customFormat="1" ht="12.75"/>
    <row r="777" s="2" customFormat="1" ht="12.75"/>
    <row r="778" s="2" customFormat="1" ht="12.75"/>
    <row r="779" s="2" customFormat="1" ht="12.75"/>
    <row r="780" s="2" customFormat="1" ht="12.75"/>
    <row r="781" s="2" customFormat="1" ht="12.75"/>
    <row r="782" s="2" customFormat="1" ht="12.75"/>
    <row r="783" s="2" customFormat="1" ht="12.75"/>
    <row r="784" s="2" customFormat="1" ht="12.75"/>
    <row r="785" s="2" customFormat="1" ht="12.75"/>
    <row r="786" s="2" customFormat="1" ht="12.75"/>
    <row r="787" s="2" customFormat="1" ht="12.75"/>
    <row r="788" s="2" customFormat="1" ht="12.75"/>
    <row r="789" s="2" customFormat="1" ht="12.75"/>
    <row r="790" s="2" customFormat="1" ht="12.75"/>
    <row r="791" s="2" customFormat="1" ht="12.75"/>
    <row r="792" s="2" customFormat="1" ht="12.75"/>
    <row r="793" s="2" customFormat="1" ht="12.75"/>
    <row r="794" s="2" customFormat="1" ht="12.75"/>
    <row r="795" s="2" customFormat="1" ht="12.75"/>
    <row r="796" s="2" customFormat="1" ht="12.75"/>
    <row r="797" s="2" customFormat="1" ht="12.75"/>
    <row r="798" s="2" customFormat="1" ht="12.75"/>
    <row r="799" s="2" customFormat="1" ht="12.75"/>
    <row r="800" s="2" customFormat="1" ht="12.75"/>
    <row r="801" s="2" customFormat="1" ht="12.75"/>
    <row r="802" s="2" customFormat="1" ht="12.75"/>
    <row r="803" s="2" customFormat="1" ht="12.75"/>
    <row r="804" s="2" customFormat="1" ht="12.75"/>
    <row r="805" s="2" customFormat="1" ht="12.75"/>
    <row r="806" s="2" customFormat="1" ht="12.75"/>
    <row r="807" s="2" customFormat="1" ht="12.75"/>
    <row r="808" s="2" customFormat="1" ht="12.75"/>
    <row r="809" s="2" customFormat="1" ht="12.75"/>
    <row r="810" s="2" customFormat="1" ht="12.75"/>
    <row r="811" s="2" customFormat="1" ht="12.75"/>
    <row r="812" s="2" customFormat="1" ht="12.75"/>
    <row r="813" s="2" customFormat="1" ht="12.75"/>
    <row r="814" s="2" customFormat="1" ht="12.75"/>
    <row r="815" s="2" customFormat="1" ht="12.75"/>
    <row r="816" s="2" customFormat="1" ht="12.75"/>
    <row r="817" s="2" customFormat="1" ht="12.75"/>
    <row r="818" s="2" customFormat="1" ht="12.75"/>
    <row r="819" s="2" customFormat="1" ht="12.75"/>
    <row r="820" s="2" customFormat="1" ht="12.75"/>
    <row r="821" s="2" customFormat="1" ht="12.75"/>
    <row r="822" s="2" customFormat="1" ht="12.75"/>
    <row r="823" s="2" customFormat="1" ht="12.75"/>
    <row r="824" s="2" customFormat="1" ht="12.75"/>
    <row r="825" s="2" customFormat="1" ht="12.75"/>
    <row r="826" s="2" customFormat="1" ht="12.75"/>
    <row r="827" s="2" customFormat="1" ht="12.75"/>
    <row r="828" s="2" customFormat="1" ht="12.75"/>
    <row r="829" s="2" customFormat="1" ht="12.75"/>
    <row r="830" s="2" customFormat="1" ht="12.75"/>
    <row r="831" s="2" customFormat="1" ht="12.75"/>
    <row r="832" s="2" customFormat="1" ht="12.75"/>
    <row r="833" s="2" customFormat="1" ht="12.75"/>
    <row r="834" s="2" customFormat="1" ht="12.75"/>
    <row r="835" s="2" customFormat="1" ht="12.75"/>
    <row r="836" s="2" customFormat="1" ht="12.75"/>
    <row r="837" s="2" customFormat="1" ht="12.75"/>
    <row r="838" s="2" customFormat="1" ht="12.75"/>
    <row r="839" s="2" customFormat="1" ht="12.75"/>
    <row r="840" s="2" customFormat="1" ht="12.75"/>
    <row r="841" s="2" customFormat="1" ht="12.75"/>
    <row r="842" s="2" customFormat="1" ht="12.75"/>
    <row r="843" s="2" customFormat="1" ht="12.75"/>
    <row r="844" s="2" customFormat="1" ht="12.75"/>
    <row r="845" s="2" customFormat="1" ht="12.75"/>
    <row r="846" s="2" customFormat="1" ht="12.75"/>
    <row r="847" s="2" customFormat="1" ht="12.75"/>
    <row r="848" s="2" customFormat="1" ht="12.75"/>
    <row r="849" s="2" customFormat="1" ht="12.75"/>
    <row r="850" s="2" customFormat="1" ht="12.75"/>
    <row r="851" s="2" customFormat="1" ht="12.75"/>
    <row r="852" s="2" customFormat="1" ht="12.75"/>
    <row r="853" s="2" customFormat="1" ht="12.75"/>
    <row r="854" s="2" customFormat="1" ht="12.75"/>
    <row r="855" s="2" customFormat="1" ht="12.75"/>
    <row r="856" s="2" customFormat="1" ht="12.75"/>
    <row r="857" s="2" customFormat="1" ht="12.75"/>
    <row r="858" s="2" customFormat="1" ht="12.75"/>
    <row r="859" s="2" customFormat="1" ht="12.75"/>
    <row r="860" s="2" customFormat="1" ht="12.75"/>
    <row r="861" s="2" customFormat="1" ht="12.75"/>
    <row r="862" s="2" customFormat="1" ht="12.75"/>
    <row r="863" s="2" customFormat="1" ht="12.75"/>
    <row r="864" s="2" customFormat="1" ht="12.75"/>
    <row r="865" s="2" customFormat="1" ht="12.75"/>
    <row r="866" s="2" customFormat="1" ht="12.75"/>
    <row r="867" s="2" customFormat="1" ht="12.75"/>
    <row r="868" s="2" customFormat="1" ht="12.75"/>
    <row r="869" s="2" customFormat="1" ht="12.75"/>
    <row r="870" s="2" customFormat="1" ht="12.75"/>
    <row r="871" s="2" customFormat="1" ht="12.75"/>
    <row r="872" s="2" customFormat="1" ht="12.75"/>
    <row r="873" s="2" customFormat="1" ht="12.75"/>
    <row r="874" s="2" customFormat="1" ht="12.75"/>
    <row r="875" s="2" customFormat="1" ht="12.75"/>
    <row r="876" s="2" customFormat="1" ht="12.75"/>
    <row r="877" s="2" customFormat="1" ht="12.75"/>
    <row r="878" s="2" customFormat="1" ht="12.75"/>
    <row r="879" s="2" customFormat="1" ht="12.75"/>
    <row r="880" s="2" customFormat="1" ht="12.75"/>
    <row r="881" s="2" customFormat="1" ht="12.75"/>
    <row r="882" s="2" customFormat="1" ht="12.75"/>
    <row r="883" s="2" customFormat="1" ht="12.75"/>
    <row r="884" s="2" customFormat="1" ht="12.75"/>
    <row r="885" s="2" customFormat="1" ht="12.75"/>
    <row r="886" s="2" customFormat="1" ht="12.75"/>
    <row r="887" s="2" customFormat="1" ht="12.75"/>
    <row r="888" s="2" customFormat="1" ht="12.75"/>
  </sheetData>
  <sheetProtection sheet="1" objects="1" scenarios="1"/>
  <protectedRanges>
    <protectedRange sqref="B20" name="Range4"/>
    <protectedRange sqref="B16" name="Range3"/>
    <protectedRange sqref="B18" name="Range2"/>
    <protectedRange sqref="B16:G16" name="Range1"/>
  </protectedRanges>
  <mergeCells count="9">
    <mergeCell ref="B17:G17"/>
    <mergeCell ref="B20:G20"/>
    <mergeCell ref="B9:G10"/>
    <mergeCell ref="B7:G7"/>
    <mergeCell ref="B12:G13"/>
    <mergeCell ref="B15:G15"/>
    <mergeCell ref="B16:G16"/>
    <mergeCell ref="B19:G19"/>
    <mergeCell ref="B18:G1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tabColor rgb="FFFFFF00"/>
    <pageSetUpPr fitToPage="1"/>
  </sheetPr>
  <dimension ref="B1:AA71"/>
  <sheetViews>
    <sheetView showGridLines="0" zoomScale="106" zoomScaleNormal="106" zoomScalePageLayoutView="0" workbookViewId="0" topLeftCell="B58">
      <selection activeCell="C23" sqref="C23"/>
    </sheetView>
  </sheetViews>
  <sheetFormatPr defaultColWidth="9.140625" defaultRowHeight="12.75"/>
  <cols>
    <col min="1" max="1" width="5.57421875" style="0" customWidth="1"/>
    <col min="2" max="2" width="40.8515625" style="0" customWidth="1"/>
    <col min="3" max="3" width="12.28125" style="0" customWidth="1"/>
    <col min="4" max="4" width="11.28125" style="0" bestFit="1" customWidth="1"/>
    <col min="5" max="5" width="2.28125" style="0" customWidth="1"/>
    <col min="6" max="6" width="10.00390625" style="0" customWidth="1"/>
    <col min="7" max="7" width="1.1484375" style="0" customWidth="1"/>
    <col min="8" max="8" width="10.140625" style="0" customWidth="1"/>
    <col min="9" max="9" width="4.00390625" style="0" customWidth="1"/>
    <col min="10" max="10" width="10.7109375" style="0" customWidth="1"/>
    <col min="11" max="11" width="10.421875" style="0" customWidth="1"/>
  </cols>
  <sheetData>
    <row r="1" ht="12.75">
      <c r="B1" s="682">
        <f ca="1">NOW()</f>
        <v>44650.39911342593</v>
      </c>
    </row>
    <row r="2" spans="2:7" s="2" customFormat="1" ht="12.75">
      <c r="B2" s="367" t="s">
        <v>26</v>
      </c>
      <c r="C2" s="816">
        <f>IF(ISBLANK('Provider Information'!F6),"",+'Provider Information'!F6)</f>
      </c>
      <c r="D2" s="817"/>
      <c r="E2" s="817"/>
      <c r="F2" s="817"/>
      <c r="G2" s="817"/>
    </row>
    <row r="3" spans="2:8" s="2" customFormat="1" ht="12.75">
      <c r="B3" s="644" t="s">
        <v>389</v>
      </c>
      <c r="C3" s="816" t="str">
        <f>+'Provider Information'!D21</f>
        <v>Area Agency on Aging of Deep East Texas</v>
      </c>
      <c r="D3" s="816"/>
      <c r="E3" s="816"/>
      <c r="F3" s="816"/>
      <c r="G3" s="816"/>
      <c r="H3" s="816"/>
    </row>
    <row r="4" spans="2:27" s="2" customFormat="1" ht="12.75">
      <c r="B4" s="722" t="s">
        <v>390</v>
      </c>
      <c r="C4" s="815" t="str">
        <f>+'Provider Information'!E26</f>
        <v>Region 5</v>
      </c>
      <c r="D4" s="815"/>
      <c r="E4" s="815"/>
      <c r="F4" s="815"/>
      <c r="G4" s="815"/>
      <c r="H4" s="678"/>
      <c r="AA4" s="679"/>
    </row>
    <row r="5" spans="2:8" s="2" customFormat="1" ht="18">
      <c r="B5" s="808" t="s">
        <v>301</v>
      </c>
      <c r="C5" s="808"/>
      <c r="D5" s="808"/>
      <c r="E5" s="808"/>
      <c r="F5" s="808"/>
      <c r="G5" s="808"/>
      <c r="H5" s="808"/>
    </row>
    <row r="6" spans="2:8" ht="55.5" customHeight="1">
      <c r="B6" s="827" t="s">
        <v>324</v>
      </c>
      <c r="C6" s="828"/>
      <c r="D6" s="828"/>
      <c r="E6" s="828"/>
      <c r="F6" s="828"/>
      <c r="G6" s="828"/>
      <c r="H6" s="828"/>
    </row>
    <row r="9" spans="3:6" ht="12.75">
      <c r="C9" s="826" t="s">
        <v>249</v>
      </c>
      <c r="D9" s="826"/>
      <c r="E9" s="826"/>
      <c r="F9" s="826"/>
    </row>
    <row r="10" spans="3:6" ht="12.75">
      <c r="C10" s="826"/>
      <c r="D10" s="826"/>
      <c r="E10" s="826"/>
      <c r="F10" s="826"/>
    </row>
    <row r="11" spans="2:6" ht="38.25">
      <c r="B11" s="127" t="s">
        <v>137</v>
      </c>
      <c r="C11" s="733" t="s">
        <v>247</v>
      </c>
      <c r="D11" s="733" t="s">
        <v>248</v>
      </c>
      <c r="E11" s="818" t="s">
        <v>302</v>
      </c>
      <c r="F11" s="819"/>
    </row>
    <row r="12" spans="2:6" ht="12.75">
      <c r="B12" s="86" t="s">
        <v>151</v>
      </c>
      <c r="C12" s="117">
        <f>IF('Provider Total Budget by Serv'!D37&gt;0,'Provider Total Budget by Serv'!D37/'Provider Total Budget by Serv'!C37,0)</f>
        <v>0</v>
      </c>
      <c r="D12" s="115">
        <f>IF('Provider Total Budget by Serv'!G37&gt;0,'Provider Total Budget by Serv'!G37/'Provider Total Budget by Serv'!C37,0)</f>
        <v>0</v>
      </c>
      <c r="E12" s="820">
        <f>IF('Provider Total Budget by Serv'!C37-'Provider Total Budget by Serv'!D37-'Provider Total Budget by Serv'!G37&gt;0,('Provider Total Budget by Serv'!C37-'Provider Total Budget by Serv'!D37-'Provider Total Budget by Serv'!G37)/'Provider Total Budget by Serv'!C37,0)</f>
        <v>0</v>
      </c>
      <c r="F12" s="821"/>
    </row>
    <row r="13" spans="2:6" ht="12.75">
      <c r="B13" s="105" t="s">
        <v>154</v>
      </c>
      <c r="C13" s="115">
        <f>IF('Provider Total Budget by Serv'!D54&gt;0,'Provider Total Budget by Serv'!D54/'Provider Total Budget by Serv'!C54,0)</f>
        <v>0</v>
      </c>
      <c r="D13" s="115">
        <f>IF('Provider Total Budget by Serv'!G54&gt;0,'Provider Total Budget by Serv'!G54/'Provider Total Budget by Serv'!C54,0)</f>
        <v>0</v>
      </c>
      <c r="E13" s="820">
        <f>IF('Provider Total Budget by Serv'!C54-'Provider Total Budget by Serv'!D54-'Provider Total Budget by Serv'!G54&gt;0,('Provider Total Budget by Serv'!C54-'Provider Total Budget by Serv'!D54-'Provider Total Budget by Serv'!G54)/'Provider Total Budget by Serv'!C54,0)</f>
        <v>0</v>
      </c>
      <c r="F13" s="821"/>
    </row>
    <row r="14" spans="2:6" ht="12.75">
      <c r="B14" s="178" t="s">
        <v>174</v>
      </c>
      <c r="C14" s="116">
        <f>IF('Provider Total Budget by Serv'!D61&gt;0,'Provider Total Budget by Serv'!D61/'Provider Total Budget by Serv'!C61,0)</f>
        <v>0</v>
      </c>
      <c r="D14" s="116">
        <f>IF('Provider Total Budget by Serv'!G61&gt;0,'Provider Total Budget by Serv'!G61/'Provider Total Budget by Serv'!C61,0)</f>
        <v>0</v>
      </c>
      <c r="E14" s="823">
        <f>IF('Provider Total Budget by Serv'!C61-'Provider Total Budget by Serv'!D61-'Provider Total Budget by Serv'!G61&gt;0,('Provider Total Budget by Serv'!C61-'Provider Total Budget by Serv'!D61-'Provider Total Budget by Serv'!G61)/'Provider Total Budget by Serv'!C61,0)</f>
        <v>0</v>
      </c>
      <c r="F14" s="824"/>
    </row>
    <row r="15" spans="2:6" ht="12.75">
      <c r="B15" s="178" t="s">
        <v>245</v>
      </c>
      <c r="C15" s="116">
        <f>IF('Provider Total Budget by Serv'!D68&gt;0,'Provider Total Budget by Serv'!D68/'Provider Total Budget by Serv'!C68,0)</f>
        <v>0</v>
      </c>
      <c r="D15" s="116">
        <f>IF('Provider Total Budget by Serv'!G68&gt;0,'Provider Total Budget by Serv'!G68/'Provider Total Budget by Serv'!C68,0)</f>
        <v>0</v>
      </c>
      <c r="E15" s="823">
        <f>IF('Provider Total Budget by Serv'!C68-'Provider Total Budget by Serv'!D68-'Provider Total Budget by Serv'!G68&gt;0,('Provider Total Budget by Serv'!C68-'Provider Total Budget by Serv'!D68-'Provider Total Budget by Serv'!G68)/'Provider Total Budget by Serv'!C68,0)</f>
        <v>0</v>
      </c>
      <c r="F15" s="824"/>
    </row>
    <row r="16" spans="2:6" ht="12.75">
      <c r="B16" s="178" t="s">
        <v>175</v>
      </c>
      <c r="C16" s="116">
        <f>IF('Provider Total Budget by Serv'!D73&gt;0,'Provider Total Budget by Serv'!D73/'Provider Total Budget by Serv'!C73,0)</f>
        <v>0</v>
      </c>
      <c r="D16" s="116">
        <f>IF('Provider Total Budget by Serv'!G73&gt;0,'Provider Total Budget by Serv'!G73/'Provider Total Budget by Serv'!C73,0)</f>
        <v>0</v>
      </c>
      <c r="E16" s="823">
        <f>IF('Provider Total Budget by Serv'!C73-'Provider Total Budget by Serv'!D73-'Provider Total Budget by Serv'!G73&gt;0,('Provider Total Budget by Serv'!C73-'Provider Total Budget by Serv'!D73-'Provider Total Budget by Serv'!G73)/'Provider Total Budget by Serv'!C73,0)</f>
        <v>0</v>
      </c>
      <c r="F16" s="824"/>
    </row>
    <row r="17" spans="2:6" ht="12.75">
      <c r="B17" s="178" t="s">
        <v>176</v>
      </c>
      <c r="C17" s="116">
        <f>IF('Provider Total Budget by Serv'!D78&gt;0,'Provider Total Budget by Serv'!D78/'Provider Total Budget by Serv'!C78,0)</f>
        <v>0</v>
      </c>
      <c r="D17" s="116">
        <f>IF('Provider Total Budget by Serv'!G78&gt;0,'Provider Total Budget by Serv'!G78/'Provider Total Budget by Serv'!C78,0)</f>
        <v>0</v>
      </c>
      <c r="E17" s="823">
        <f>IF('Provider Total Budget by Serv'!C78-'Provider Total Budget by Serv'!D78-'Provider Total Budget by Serv'!G78&gt;0,('Provider Total Budget by Serv'!C78-'Provider Total Budget by Serv'!D78-'Provider Total Budget by Serv'!G78)/'Provider Total Budget by Serv'!C78,0)</f>
        <v>0</v>
      </c>
      <c r="F17" s="824"/>
    </row>
    <row r="18" spans="2:6" ht="12.75">
      <c r="B18" s="178" t="s">
        <v>158</v>
      </c>
      <c r="C18" s="116">
        <f>IF('Provider Total Budget by Serv'!D87&gt;0,'Provider Total Budget by Serv'!D87/'Provider Total Budget by Serv'!C87,0)</f>
        <v>0</v>
      </c>
      <c r="D18" s="116">
        <f>IF('Provider Total Budget by Serv'!G87&gt;0,'Provider Total Budget by Serv'!G87/'Provider Total Budget by Serv'!C87,0)</f>
        <v>0</v>
      </c>
      <c r="E18" s="823">
        <f>IF('Provider Total Budget by Serv'!C87-'Provider Total Budget by Serv'!D87-'Provider Total Budget by Serv'!G87&gt;0,('Provider Total Budget by Serv'!C87-'Provider Total Budget by Serv'!D87-'Provider Total Budget by Serv'!G87)/'Provider Total Budget by Serv'!C87,0)</f>
        <v>0</v>
      </c>
      <c r="F18" s="824"/>
    </row>
    <row r="19" spans="2:6" ht="12.75">
      <c r="B19" s="178" t="s">
        <v>246</v>
      </c>
      <c r="C19" s="116">
        <f>IF('Provider Total Budget by Serv'!D92&gt;0,'Provider Total Budget by Serv'!D92/'Provider Total Budget by Serv'!C92,0)</f>
        <v>0</v>
      </c>
      <c r="D19" s="116">
        <f>IF('Provider Total Budget by Serv'!G92&gt;0,'Provider Total Budget by Serv'!G92/'Provider Total Budget by Serv'!C92,0)</f>
        <v>0</v>
      </c>
      <c r="E19" s="823">
        <f>IF('Provider Total Budget by Serv'!C92-'Provider Total Budget by Serv'!D92-'Provider Total Budget by Serv'!G92&gt;0,('Provider Total Budget by Serv'!C92-'Provider Total Budget by Serv'!D92-'Provider Total Budget by Serv'!G92)/'Provider Total Budget by Serv'!C92,0)</f>
        <v>0</v>
      </c>
      <c r="F19" s="824"/>
    </row>
    <row r="20" spans="2:11" ht="12.75">
      <c r="B20" s="105" t="s">
        <v>157</v>
      </c>
      <c r="C20" s="115">
        <f>IF('Provider Total Budget by Serv'!D93&gt;0,'Provider Total Budget by Serv'!D93/'Provider Total Budget by Serv'!C93,0)</f>
        <v>0</v>
      </c>
      <c r="D20" s="115">
        <f>IF('Provider Total Budget by Serv'!G93&gt;0,'Provider Total Budget by Serv'!G93/'Provider Total Budget by Serv'!C93,0)</f>
        <v>0</v>
      </c>
      <c r="E20" s="820">
        <f>IF('Provider Total Budget by Serv'!C93-'Provider Total Budget by Serv'!D93-'Provider Total Budget by Serv'!G93&gt;0,('Provider Total Budget by Serv'!C93-'Provider Total Budget by Serv'!D93-'Provider Total Budget by Serv'!G93)/'Provider Total Budget by Serv'!C93,0)</f>
        <v>0</v>
      </c>
      <c r="F20" s="821"/>
      <c r="K20" s="286"/>
    </row>
    <row r="21" spans="2:6" ht="12.75">
      <c r="B21" s="105" t="s">
        <v>164</v>
      </c>
      <c r="C21" s="115">
        <f>IF('Provider Total Budget by Serv'!D115&gt;0,'Provider Total Budget by Serv'!D115/'Provider Total Budget by Serv'!C115,0)</f>
        <v>0</v>
      </c>
      <c r="D21" s="115">
        <f>IF('Provider Total Budget by Serv'!G115&gt;0,'Provider Total Budget by Serv'!G115/'Provider Total Budget by Serv'!C115,0)</f>
        <v>0</v>
      </c>
      <c r="E21" s="820">
        <f>IF('Provider Total Budget by Serv'!C115-'Provider Total Budget by Serv'!D115-'Provider Total Budget by Serv'!G115&gt;0,('Provider Total Budget by Serv'!C115-'Provider Total Budget by Serv'!D115-'Provider Total Budget by Serv'!G115)/'Provider Total Budget by Serv'!C115,0)</f>
        <v>0</v>
      </c>
      <c r="F21" s="821"/>
    </row>
    <row r="22" spans="2:6" ht="12.75">
      <c r="B22" s="105" t="s">
        <v>169</v>
      </c>
      <c r="C22" s="115">
        <f>IF('Provider Total Budget by Serv'!D162&gt;0,'Provider Total Budget by Serv'!D162/'Provider Total Budget by Serv'!C162,0)</f>
        <v>0</v>
      </c>
      <c r="D22" s="115">
        <f>IF('Provider Total Budget by Serv'!G162&gt;0,'Provider Total Budget by Serv'!G162/'Provider Total Budget by Serv'!C162,0)</f>
        <v>0</v>
      </c>
      <c r="E22" s="820">
        <f>IF('Provider Total Budget by Serv'!C162-'Provider Total Budget by Serv'!D162-'Provider Total Budget by Serv'!G162&gt;0,('Provider Total Budget by Serv'!C162-'Provider Total Budget by Serv'!D162-'Provider Total Budget by Serv'!G162)/'Provider Total Budget by Serv'!C162,0)</f>
        <v>0</v>
      </c>
      <c r="F22" s="821"/>
    </row>
    <row r="23" spans="2:6" ht="12.75">
      <c r="B23" s="105" t="s">
        <v>172</v>
      </c>
      <c r="C23" s="115">
        <f>IF('Provider Total Budget by Serv'!D204&gt;0,'Provider Total Budget by Serv'!D204/'Provider Total Budget by Serv'!C204,0)</f>
        <v>0</v>
      </c>
      <c r="D23" s="115">
        <f>IF('Provider Total Budget by Serv'!G204&gt;0,'Provider Total Budget by Serv'!G204/'Provider Total Budget by Serv'!C204,0)</f>
        <v>0</v>
      </c>
      <c r="E23" s="820">
        <f>IF('Provider Total Budget by Serv'!C204-'Provider Total Budget by Serv'!D204-'Provider Total Budget by Serv'!G204&gt;0,('Provider Total Budget by Serv'!C204-'Provider Total Budget by Serv'!D204-'Provider Total Budget by Serv'!G204)/'Provider Total Budget by Serv'!C204,0)</f>
        <v>0</v>
      </c>
      <c r="F23" s="821"/>
    </row>
    <row r="24" spans="2:6" ht="12.75">
      <c r="B24" s="105" t="s">
        <v>173</v>
      </c>
      <c r="C24" s="115">
        <f>IF('Provider Total Budget by Serv'!D276&gt;0,'Provider Total Budget by Serv'!D276/'Provider Total Budget by Serv'!C276,0)</f>
        <v>0</v>
      </c>
      <c r="D24" s="115">
        <f>IF('Provider Total Budget by Serv'!G276&gt;0,'Provider Total Budget by Serv'!G276/'Provider Total Budget by Serv'!C276,0)</f>
        <v>0</v>
      </c>
      <c r="E24" s="820">
        <f>IF('Provider Total Budget by Serv'!C276-'Provider Total Budget by Serv'!D276-'Provider Total Budget by Serv'!G276&gt;0,('Provider Total Budget by Serv'!C276-'Provider Total Budget by Serv'!D276-'Provider Total Budget by Serv'!G276)/'Provider Total Budget by Serv'!C276,0)</f>
        <v>0</v>
      </c>
      <c r="F24" s="821"/>
    </row>
    <row r="25" spans="2:6" ht="12.75">
      <c r="B25" s="179" t="s">
        <v>28</v>
      </c>
      <c r="C25" s="115">
        <f>IF('Provider Total Budget by Serv'!D278&gt;0,'Provider Total Budget by Serv'!D278/'Provider Total Budget by Serv'!$C$278,0)</f>
        <v>0</v>
      </c>
      <c r="D25" s="115">
        <f>IF('Provider Total Budget by Serv'!G278&gt;0,'Provider Total Budget by Serv'!G278/'Provider Total Budget by Serv'!$C$278,0)</f>
        <v>0</v>
      </c>
      <c r="E25" s="820">
        <f>IF('Provider Total Budget by Serv'!C278-'Provider Total Budget by Serv'!D278-'Provider Total Budget by Serv'!G278&gt;0,('Provider Total Budget by Serv'!C278-'Provider Total Budget by Serv'!D278-'Provider Total Budget by Serv'!G278)/'Provider Total Budget by Serv'!C278,0)</f>
        <v>0</v>
      </c>
      <c r="F25" s="821"/>
    </row>
    <row r="27" spans="2:8" ht="12.75">
      <c r="B27" s="180" t="s">
        <v>303</v>
      </c>
      <c r="C27" s="1"/>
      <c r="D27" s="1"/>
      <c r="E27" s="1"/>
      <c r="F27" s="1"/>
      <c r="G27" s="1"/>
      <c r="H27" s="1"/>
    </row>
    <row r="28" spans="2:8" ht="171" customHeight="1">
      <c r="B28" s="829" t="s">
        <v>323</v>
      </c>
      <c r="C28" s="829"/>
      <c r="D28" s="829"/>
      <c r="E28" s="829"/>
      <c r="F28" s="829"/>
      <c r="G28" s="829"/>
      <c r="H28" s="829"/>
    </row>
    <row r="33" spans="2:11" ht="18">
      <c r="B33" s="843" t="s">
        <v>304</v>
      </c>
      <c r="C33" s="843"/>
      <c r="D33" s="843"/>
      <c r="E33" s="843"/>
      <c r="F33" s="843"/>
      <c r="G33" s="843"/>
      <c r="H33" s="843"/>
      <c r="I33" s="843"/>
      <c r="J33" s="843"/>
      <c r="K33" s="843"/>
    </row>
    <row r="34" spans="2:11" ht="152.25" customHeight="1">
      <c r="B34" s="832" t="s">
        <v>454</v>
      </c>
      <c r="C34" s="833"/>
      <c r="D34" s="833"/>
      <c r="E34" s="833"/>
      <c r="F34" s="833"/>
      <c r="G34" s="833"/>
      <c r="H34" s="833"/>
      <c r="I34" s="833"/>
      <c r="J34" s="833"/>
      <c r="K34" s="833"/>
    </row>
    <row r="36" spans="3:11" ht="12.75" customHeight="1">
      <c r="C36" s="830" t="s">
        <v>319</v>
      </c>
      <c r="D36" s="831"/>
      <c r="E36" s="272"/>
      <c r="F36" s="826" t="s">
        <v>320</v>
      </c>
      <c r="G36" s="826"/>
      <c r="H36" s="826"/>
      <c r="J36" s="830" t="s">
        <v>321</v>
      </c>
      <c r="K36" s="831"/>
    </row>
    <row r="37" spans="3:11" ht="12.75">
      <c r="C37" s="831"/>
      <c r="D37" s="831"/>
      <c r="E37" s="272"/>
      <c r="F37" s="826"/>
      <c r="G37" s="826"/>
      <c r="H37" s="826"/>
      <c r="J37" s="831"/>
      <c r="K37" s="831"/>
    </row>
    <row r="38" spans="2:11" ht="38.25">
      <c r="B38" s="114" t="s">
        <v>137</v>
      </c>
      <c r="C38" s="733" t="s">
        <v>247</v>
      </c>
      <c r="D38" s="733" t="s">
        <v>248</v>
      </c>
      <c r="E38" s="273"/>
      <c r="F38" s="826" t="s">
        <v>247</v>
      </c>
      <c r="G38" s="826"/>
      <c r="H38" s="285" t="s">
        <v>248</v>
      </c>
      <c r="J38" s="733" t="s">
        <v>247</v>
      </c>
      <c r="K38" s="733" t="s">
        <v>248</v>
      </c>
    </row>
    <row r="39" spans="2:11" ht="12.75">
      <c r="B39" s="86" t="s">
        <v>151</v>
      </c>
      <c r="C39" s="119">
        <f>+'Provider Total Budget by Serv'!D37</f>
        <v>0</v>
      </c>
      <c r="D39" s="119">
        <f>+'Provider Total Budget by Serv'!G37</f>
        <v>0</v>
      </c>
      <c r="E39" s="274"/>
      <c r="F39" s="822">
        <f aca="true" t="shared" si="0" ref="F39:F55">IF(C39=0,0,C39/(C39+D39))</f>
        <v>0</v>
      </c>
      <c r="G39" s="822"/>
      <c r="H39" s="276">
        <f>IF(D39=0,0,D39/(C39+D39))</f>
        <v>0</v>
      </c>
      <c r="J39" s="119">
        <f>IF(C39&gt;0,(+C39/C$57)*C$65,0)</f>
        <v>0</v>
      </c>
      <c r="K39" s="119">
        <f>IF(D39&gt;0,(+D39/D$57)*D$65,0)</f>
        <v>0</v>
      </c>
    </row>
    <row r="40" spans="2:11" ht="12.75">
      <c r="B40" s="105" t="s">
        <v>154</v>
      </c>
      <c r="C40" s="119">
        <f>+'Provider Total Budget by Serv'!D54</f>
        <v>0</v>
      </c>
      <c r="D40" s="119">
        <f>+'Provider Total Budget by Serv'!G54</f>
        <v>0</v>
      </c>
      <c r="E40" s="274"/>
      <c r="F40" s="822">
        <f t="shared" si="0"/>
        <v>0</v>
      </c>
      <c r="G40" s="822"/>
      <c r="H40" s="276">
        <f aca="true" t="shared" si="1" ref="H40:H55">IF(D40=0,0,D40/(C40+D40))</f>
        <v>0</v>
      </c>
      <c r="J40" s="119">
        <f>IF(C40&gt;0,(+C40/C$57)*C$65,0)</f>
        <v>0</v>
      </c>
      <c r="K40" s="119">
        <f>IF(D40&gt;0,(+D40/D$57)*D$65,0)</f>
        <v>0</v>
      </c>
    </row>
    <row r="41" spans="2:12" ht="12.75">
      <c r="B41" s="655" t="s">
        <v>174</v>
      </c>
      <c r="C41" s="120">
        <f>+'Provider Total Budget by Serv'!D61</f>
        <v>0</v>
      </c>
      <c r="D41" s="120">
        <f>+'Provider Total Budget by Serv'!G61</f>
        <v>0</v>
      </c>
      <c r="E41" s="275"/>
      <c r="F41" s="825">
        <f t="shared" si="0"/>
        <v>0</v>
      </c>
      <c r="G41" s="825"/>
      <c r="H41" s="280">
        <f t="shared" si="1"/>
        <v>0</v>
      </c>
      <c r="J41" s="120">
        <f>IF(C41&gt;0,(+C41/HD_MealsPreparedByProvider),0)</f>
        <v>0</v>
      </c>
      <c r="K41" s="120">
        <f>IF(D41&gt;0,(+D41/C_MealsPreparedByProvider),0)</f>
        <v>0</v>
      </c>
      <c r="L41" s="725">
        <f>IF(K41&lt;&gt;J41,"?",0)</f>
        <v>0</v>
      </c>
    </row>
    <row r="42" spans="2:12" ht="12.75">
      <c r="B42" s="659" t="s">
        <v>244</v>
      </c>
      <c r="C42" s="654"/>
      <c r="D42" s="654"/>
      <c r="E42" s="275"/>
      <c r="F42" s="844"/>
      <c r="G42" s="845"/>
      <c r="H42" s="663"/>
      <c r="J42" s="654"/>
      <c r="K42" s="654"/>
      <c r="L42" s="599"/>
    </row>
    <row r="43" spans="2:12" ht="25.5">
      <c r="B43" s="652" t="s">
        <v>243</v>
      </c>
      <c r="C43" s="656">
        <f>+HD_Purchased_Hot_Meals</f>
        <v>0</v>
      </c>
      <c r="D43" s="656">
        <f>+C_Purchased_Hot_Meals</f>
        <v>0</v>
      </c>
      <c r="E43" s="657"/>
      <c r="F43" s="842">
        <f>IF(C43=0,0,C43/(C43+D43))</f>
        <v>0</v>
      </c>
      <c r="G43" s="842"/>
      <c r="H43" s="658">
        <f>IF(D43=0,0,D43/(C43+D43))</f>
        <v>0</v>
      </c>
      <c r="I43" s="604"/>
      <c r="J43" s="656">
        <f>IF(C43&gt;0,+C43/HD_HotPrepMealsPurchfromSupplierCentralKitch,0)</f>
        <v>0</v>
      </c>
      <c r="K43" s="656">
        <f>IF(D43&gt;0,+D43/C_HotPrepMealsPurchfromSupplierCentralKitch,0)</f>
        <v>0</v>
      </c>
      <c r="L43" s="599"/>
    </row>
    <row r="44" spans="2:12" ht="12.75">
      <c r="B44" s="652" t="s">
        <v>383</v>
      </c>
      <c r="C44" s="656">
        <f>+HD_Purchased_Frozen_Meals</f>
        <v>0</v>
      </c>
      <c r="D44" s="656">
        <f>+C_Purchased_Frozen_Meals</f>
        <v>0</v>
      </c>
      <c r="E44" s="657"/>
      <c r="F44" s="842">
        <f>IF(C44=0,0,C44/(C44+D44))</f>
        <v>0</v>
      </c>
      <c r="G44" s="842"/>
      <c r="H44" s="658">
        <f>IF(D44=0,0,D44/(C44+D44))</f>
        <v>0</v>
      </c>
      <c r="I44" s="604"/>
      <c r="J44" s="656">
        <f>IF(C44&gt;0,+C44/HD_PurchasedFrozenMeals,0)</f>
        <v>0</v>
      </c>
      <c r="K44" s="656">
        <f>IF(D44&gt;0,+D44/C_PurchasedFrozenMeals,0)</f>
        <v>0</v>
      </c>
      <c r="L44" s="599"/>
    </row>
    <row r="45" spans="2:12" ht="12.75">
      <c r="B45" s="652" t="s">
        <v>384</v>
      </c>
      <c r="C45" s="656">
        <f>+HD_Purchased_ChilledMeals</f>
        <v>0</v>
      </c>
      <c r="D45" s="656">
        <f>+C_Purchased_ChilledMeals</f>
        <v>0</v>
      </c>
      <c r="E45" s="657"/>
      <c r="F45" s="842">
        <f>IF(C45=0,0,C45/(C45+D45))</f>
        <v>0</v>
      </c>
      <c r="G45" s="842"/>
      <c r="H45" s="658">
        <f>IF(D45=0,0,D45/(C45+D45))</f>
        <v>0</v>
      </c>
      <c r="I45" s="604"/>
      <c r="J45" s="656">
        <f>IF(C45&gt;0,+C45/HDM_Purchased_Chilled_Meals,0)</f>
        <v>0</v>
      </c>
      <c r="K45" s="656">
        <f>IF(D45&gt;0,+D45/CM_Purchased_Chilled_Meals,0)</f>
        <v>0</v>
      </c>
      <c r="L45" s="599"/>
    </row>
    <row r="46" spans="2:11" ht="12.75">
      <c r="B46" s="652" t="s">
        <v>387</v>
      </c>
      <c r="C46" s="656">
        <f>+HD_Purchased_ShelfStableMeals</f>
        <v>0</v>
      </c>
      <c r="D46" s="656">
        <f>+C_Purchased_ShelfStableMeals</f>
        <v>0</v>
      </c>
      <c r="E46" s="657"/>
      <c r="F46" s="842">
        <f t="shared" si="0"/>
        <v>0</v>
      </c>
      <c r="G46" s="842"/>
      <c r="H46" s="658">
        <f t="shared" si="1"/>
        <v>0</v>
      </c>
      <c r="I46" s="604"/>
      <c r="J46" s="656">
        <f>IF(C46&gt;0,+C46/HD_PurchasedShelfStableMeals,0)</f>
        <v>0</v>
      </c>
      <c r="K46" s="656">
        <f>IF(D46&gt;0,+D46/C_PurchasedShelfStableMeals,0)</f>
        <v>0</v>
      </c>
    </row>
    <row r="47" spans="2:11" ht="12.75">
      <c r="B47" s="660"/>
      <c r="C47" s="661"/>
      <c r="D47" s="661"/>
      <c r="E47" s="657"/>
      <c r="F47" s="840"/>
      <c r="G47" s="841"/>
      <c r="H47" s="662"/>
      <c r="I47" s="604"/>
      <c r="J47" s="661"/>
      <c r="K47" s="661"/>
    </row>
    <row r="48" spans="2:11" ht="12.75">
      <c r="B48" s="655" t="s">
        <v>158</v>
      </c>
      <c r="C48" s="120">
        <f>+'Provider Total Budget by Serv'!D87</f>
        <v>0</v>
      </c>
      <c r="D48" s="120">
        <f>+'Provider Total Budget by Serv'!G87</f>
        <v>0</v>
      </c>
      <c r="E48" s="275"/>
      <c r="F48" s="825">
        <f t="shared" si="0"/>
        <v>0</v>
      </c>
      <c r="G48" s="825"/>
      <c r="H48" s="280">
        <f t="shared" si="1"/>
        <v>0</v>
      </c>
      <c r="J48" s="120">
        <f aca="true" t="shared" si="2" ref="J48:J56">IF(C48&gt;0,(+C48/C$57)*C$65,0)</f>
        <v>0</v>
      </c>
      <c r="K48" s="120">
        <f aca="true" t="shared" si="3" ref="K48:K56">IF(D48&gt;0,(+D48/D$57)*D$65,0)</f>
        <v>0</v>
      </c>
    </row>
    <row r="49" spans="2:11" ht="12.75">
      <c r="B49" s="655" t="s">
        <v>246</v>
      </c>
      <c r="C49" s="120">
        <f>+'Provider Total Budget by Serv'!D92</f>
        <v>0</v>
      </c>
      <c r="D49" s="120">
        <f>+'Provider Total Budget by Serv'!G92</f>
        <v>0</v>
      </c>
      <c r="E49" s="275"/>
      <c r="F49" s="825">
        <f t="shared" si="0"/>
        <v>0</v>
      </c>
      <c r="G49" s="825"/>
      <c r="H49" s="280">
        <f t="shared" si="1"/>
        <v>0</v>
      </c>
      <c r="J49" s="120">
        <f t="shared" si="2"/>
        <v>0</v>
      </c>
      <c r="K49" s="120">
        <f t="shared" si="3"/>
        <v>0</v>
      </c>
    </row>
    <row r="50" spans="2:16" ht="12.75">
      <c r="B50" s="105" t="s">
        <v>157</v>
      </c>
      <c r="C50" s="119">
        <f>+'Provider Total Budget by Serv'!D93</f>
        <v>0</v>
      </c>
      <c r="D50" s="119">
        <f>+'Provider Total Budget by Serv'!G93</f>
        <v>0</v>
      </c>
      <c r="E50" s="274"/>
      <c r="F50" s="822">
        <f t="shared" si="0"/>
        <v>0</v>
      </c>
      <c r="G50" s="822"/>
      <c r="H50" s="276">
        <f t="shared" si="1"/>
        <v>0</v>
      </c>
      <c r="J50" s="119">
        <f t="shared" si="2"/>
        <v>0</v>
      </c>
      <c r="K50" s="119">
        <f t="shared" si="3"/>
        <v>0</v>
      </c>
      <c r="P50" s="598"/>
    </row>
    <row r="51" spans="2:17" ht="12.75">
      <c r="B51" s="105" t="s">
        <v>164</v>
      </c>
      <c r="C51" s="119">
        <f>+'Provider Total Budget by Serv'!D115</f>
        <v>0</v>
      </c>
      <c r="D51" s="119">
        <f>+'Provider Total Budget by Serv'!G115</f>
        <v>0</v>
      </c>
      <c r="E51" s="274"/>
      <c r="F51" s="822">
        <f t="shared" si="0"/>
        <v>0</v>
      </c>
      <c r="G51" s="822"/>
      <c r="H51" s="276">
        <f t="shared" si="1"/>
        <v>0</v>
      </c>
      <c r="J51" s="119">
        <f t="shared" si="2"/>
        <v>0</v>
      </c>
      <c r="K51" s="119">
        <f t="shared" si="3"/>
        <v>0</v>
      </c>
      <c r="P51" s="598"/>
      <c r="Q51" s="598"/>
    </row>
    <row r="52" spans="2:11" ht="12.75">
      <c r="B52" s="105" t="s">
        <v>169</v>
      </c>
      <c r="C52" s="119">
        <f>+'Provider Total Budget by Serv'!D162</f>
        <v>0</v>
      </c>
      <c r="D52" s="119">
        <f>+'Provider Total Budget by Serv'!G162</f>
        <v>0</v>
      </c>
      <c r="E52" s="274"/>
      <c r="F52" s="822">
        <f t="shared" si="0"/>
        <v>0</v>
      </c>
      <c r="G52" s="822"/>
      <c r="H52" s="276">
        <f t="shared" si="1"/>
        <v>0</v>
      </c>
      <c r="J52" s="119">
        <f t="shared" si="2"/>
        <v>0</v>
      </c>
      <c r="K52" s="119">
        <f t="shared" si="3"/>
        <v>0</v>
      </c>
    </row>
    <row r="53" spans="2:11" ht="12.75">
      <c r="B53" s="105" t="s">
        <v>172</v>
      </c>
      <c r="C53" s="119">
        <f>+'Provider Total Budget by Serv'!D204</f>
        <v>0</v>
      </c>
      <c r="D53" s="119">
        <f>+'Provider Total Budget by Serv'!G204</f>
        <v>0</v>
      </c>
      <c r="E53" s="274"/>
      <c r="F53" s="822">
        <f t="shared" si="0"/>
        <v>0</v>
      </c>
      <c r="G53" s="822"/>
      <c r="H53" s="276">
        <f t="shared" si="1"/>
        <v>0</v>
      </c>
      <c r="J53" s="119">
        <f t="shared" si="2"/>
        <v>0</v>
      </c>
      <c r="K53" s="119">
        <f t="shared" si="3"/>
        <v>0</v>
      </c>
    </row>
    <row r="54" spans="2:11" ht="12.75">
      <c r="B54" s="105" t="s">
        <v>173</v>
      </c>
      <c r="C54" s="119">
        <f>+'Provider Total Budget by Serv'!D276</f>
        <v>0</v>
      </c>
      <c r="D54" s="119">
        <f>+'Provider Total Budget by Serv'!G276</f>
        <v>0</v>
      </c>
      <c r="E54" s="274"/>
      <c r="F54" s="822">
        <f t="shared" si="0"/>
        <v>0</v>
      </c>
      <c r="G54" s="822"/>
      <c r="H54" s="276">
        <f t="shared" si="1"/>
        <v>0</v>
      </c>
      <c r="J54" s="119">
        <f t="shared" si="2"/>
        <v>0</v>
      </c>
      <c r="K54" s="119">
        <f t="shared" si="3"/>
        <v>0</v>
      </c>
    </row>
    <row r="55" spans="2:11" ht="12.75">
      <c r="B55" s="179" t="s">
        <v>315</v>
      </c>
      <c r="C55" s="119">
        <f>+'Provider Total Budget by Serv'!D278</f>
        <v>0</v>
      </c>
      <c r="D55" s="119">
        <f>+'Provider Total Budget by Serv'!G278</f>
        <v>0</v>
      </c>
      <c r="E55" s="274"/>
      <c r="F55" s="822">
        <f t="shared" si="0"/>
        <v>0</v>
      </c>
      <c r="G55" s="822"/>
      <c r="H55" s="276">
        <f t="shared" si="1"/>
        <v>0</v>
      </c>
      <c r="J55" s="119">
        <f t="shared" si="2"/>
        <v>0</v>
      </c>
      <c r="K55" s="119">
        <f t="shared" si="3"/>
        <v>0</v>
      </c>
    </row>
    <row r="56" spans="2:11" ht="12.75">
      <c r="B56" s="271" t="s">
        <v>238</v>
      </c>
      <c r="C56" s="277" t="e">
        <f>+'Home Delivered Meal Budget'!I22</f>
        <v>#DIV/0!</v>
      </c>
      <c r="D56" s="277" t="e">
        <f>+'Congregate Meal Budget'!I22</f>
        <v>#DIV/0!</v>
      </c>
      <c r="E56" s="278"/>
      <c r="F56" s="278"/>
      <c r="G56" s="281"/>
      <c r="H56" s="281"/>
      <c r="I56" s="279"/>
      <c r="J56" s="277" t="e">
        <f t="shared" si="2"/>
        <v>#DIV/0!</v>
      </c>
      <c r="K56" s="277" t="e">
        <f t="shared" si="3"/>
        <v>#DIV/0!</v>
      </c>
    </row>
    <row r="57" spans="2:11" ht="12.75">
      <c r="B57" s="179" t="s">
        <v>1</v>
      </c>
      <c r="C57" s="119" t="e">
        <f>+'Home Delivered Meal Budget'!I80</f>
        <v>#DIV/0!</v>
      </c>
      <c r="D57" s="119" t="e">
        <f>+'Congregate Meal Budget'!I80</f>
        <v>#DIV/0!</v>
      </c>
      <c r="E57" s="274"/>
      <c r="F57" s="274"/>
      <c r="G57" s="282"/>
      <c r="H57" s="282"/>
      <c r="J57" s="284" t="e">
        <f>+J55+J56</f>
        <v>#DIV/0!</v>
      </c>
      <c r="K57" s="284" t="e">
        <f>+K55+K56</f>
        <v>#DIV/0!</v>
      </c>
    </row>
    <row r="59" spans="2:7" ht="12.75">
      <c r="B59" s="179" t="s">
        <v>316</v>
      </c>
      <c r="C59" s="664">
        <f>+'Provider Total Budget by Serv'!D278</f>
        <v>0</v>
      </c>
      <c r="D59" s="664">
        <f>+'Provider Total Budget by Serv'!G278</f>
        <v>0</v>
      </c>
      <c r="E59" s="665"/>
      <c r="F59" s="839">
        <f>SUM(C59:D59)</f>
        <v>0</v>
      </c>
      <c r="G59" s="839"/>
    </row>
    <row r="60" spans="2:7" ht="12.75">
      <c r="B60" s="179" t="s">
        <v>317</v>
      </c>
      <c r="C60" s="666" t="e">
        <f>+C59/F59</f>
        <v>#DIV/0!</v>
      </c>
      <c r="D60" s="666" t="e">
        <f>+D59/F59</f>
        <v>#DIV/0!</v>
      </c>
      <c r="E60" s="667"/>
      <c r="F60" s="838" t="e">
        <f>SUM(C60:D60)</f>
        <v>#DIV/0!</v>
      </c>
      <c r="G60" s="838"/>
    </row>
    <row r="61" spans="2:7" ht="12.75">
      <c r="B61" s="180"/>
      <c r="C61" s="668"/>
      <c r="D61" s="668"/>
      <c r="E61" s="668"/>
      <c r="F61" s="668"/>
      <c r="G61" s="668"/>
    </row>
    <row r="62" spans="2:7" ht="12.75">
      <c r="B62" s="179" t="s">
        <v>200</v>
      </c>
      <c r="C62" s="669">
        <f>+'Provider Total Budget by Serv'!D294</f>
        <v>0</v>
      </c>
      <c r="D62" s="669">
        <f>+C_TotalBudgetedMeals</f>
        <v>0</v>
      </c>
      <c r="E62" s="670"/>
      <c r="F62" s="836">
        <f>SUM(C62:D62)</f>
        <v>0</v>
      </c>
      <c r="G62" s="837"/>
    </row>
    <row r="63" spans="2:7" ht="12.75">
      <c r="B63" s="179" t="s">
        <v>318</v>
      </c>
      <c r="C63" s="666" t="e">
        <f>+C62/F62</f>
        <v>#DIV/0!</v>
      </c>
      <c r="D63" s="666" t="e">
        <f>+D62/F62</f>
        <v>#DIV/0!</v>
      </c>
      <c r="E63" s="667"/>
      <c r="F63" s="838" t="e">
        <f>SUM(C63:D63)</f>
        <v>#DIV/0!</v>
      </c>
      <c r="G63" s="837"/>
    </row>
    <row r="64" spans="2:7" ht="12.75">
      <c r="B64" s="180"/>
      <c r="C64" s="671"/>
      <c r="D64" s="671"/>
      <c r="E64" s="671"/>
      <c r="F64" s="671"/>
      <c r="G64" s="671"/>
    </row>
    <row r="65" spans="2:7" ht="12.75">
      <c r="B65" s="179" t="s">
        <v>322</v>
      </c>
      <c r="C65" s="672" t="e">
        <f>+C57/C62</f>
        <v>#DIV/0!</v>
      </c>
      <c r="D65" s="672" t="e">
        <f>+D57/D62</f>
        <v>#DIV/0!</v>
      </c>
      <c r="E65" s="673"/>
      <c r="F65" s="671"/>
      <c r="G65" s="671"/>
    </row>
    <row r="66" spans="2:7" ht="12.75">
      <c r="B66" s="180"/>
      <c r="C66" s="673"/>
      <c r="D66" s="673"/>
      <c r="E66" s="673"/>
      <c r="F66" s="671"/>
      <c r="G66" s="671"/>
    </row>
    <row r="67" spans="2:7" ht="12.75">
      <c r="B67" s="179" t="s">
        <v>69</v>
      </c>
      <c r="C67" s="672">
        <f>+'Home Delivered Meal Budget'!I88</f>
        <v>0</v>
      </c>
      <c r="D67" s="672">
        <f>+'Congregate Meal Budget'!I93</f>
        <v>0</v>
      </c>
      <c r="E67" s="673"/>
      <c r="F67" s="671"/>
      <c r="G67" s="671"/>
    </row>
    <row r="69" ht="15.75" customHeight="1"/>
    <row r="70" spans="2:11" ht="20.25" customHeight="1">
      <c r="B70" s="835" t="s">
        <v>303</v>
      </c>
      <c r="C70" s="835"/>
      <c r="D70" s="835"/>
      <c r="E70" s="835"/>
      <c r="F70" s="835"/>
      <c r="G70" s="835"/>
      <c r="H70" s="835"/>
      <c r="I70" s="835"/>
      <c r="J70" s="835"/>
      <c r="K70" s="835"/>
    </row>
    <row r="71" spans="2:11" ht="270" customHeight="1">
      <c r="B71" s="834" t="s">
        <v>325</v>
      </c>
      <c r="C71" s="834"/>
      <c r="D71" s="834"/>
      <c r="E71" s="834"/>
      <c r="F71" s="834"/>
      <c r="G71" s="834"/>
      <c r="H71" s="834"/>
      <c r="I71" s="834"/>
      <c r="J71" s="834"/>
      <c r="K71" s="834"/>
    </row>
  </sheetData>
  <sheetProtection sheet="1" formatColumns="0" formatRows="0"/>
  <mergeCells count="51">
    <mergeCell ref="F59:G59"/>
    <mergeCell ref="F54:G54"/>
    <mergeCell ref="F47:G47"/>
    <mergeCell ref="F40:G40"/>
    <mergeCell ref="F41:G41"/>
    <mergeCell ref="F46:G46"/>
    <mergeCell ref="F42:G42"/>
    <mergeCell ref="F43:G43"/>
    <mergeCell ref="F44:G44"/>
    <mergeCell ref="F45:G45"/>
    <mergeCell ref="E22:F22"/>
    <mergeCell ref="B71:K71"/>
    <mergeCell ref="F51:G51"/>
    <mergeCell ref="F52:G52"/>
    <mergeCell ref="B70:K70"/>
    <mergeCell ref="F55:G55"/>
    <mergeCell ref="F53:G53"/>
    <mergeCell ref="F62:G62"/>
    <mergeCell ref="F60:G60"/>
    <mergeCell ref="F63:G63"/>
    <mergeCell ref="E21:F21"/>
    <mergeCell ref="E14:F14"/>
    <mergeCell ref="E15:F15"/>
    <mergeCell ref="E16:F16"/>
    <mergeCell ref="E19:F19"/>
    <mergeCell ref="E20:F20"/>
    <mergeCell ref="C36:D37"/>
    <mergeCell ref="B34:K34"/>
    <mergeCell ref="J36:K37"/>
    <mergeCell ref="F39:G39"/>
    <mergeCell ref="F38:G38"/>
    <mergeCell ref="E23:F23"/>
    <mergeCell ref="E24:F24"/>
    <mergeCell ref="F36:H37"/>
    <mergeCell ref="B33:K33"/>
    <mergeCell ref="F50:G50"/>
    <mergeCell ref="B5:H5"/>
    <mergeCell ref="E25:F25"/>
    <mergeCell ref="E17:F17"/>
    <mergeCell ref="E18:F18"/>
    <mergeCell ref="F48:G48"/>
    <mergeCell ref="F49:G49"/>
    <mergeCell ref="C9:F10"/>
    <mergeCell ref="B6:H6"/>
    <mergeCell ref="B28:H28"/>
    <mergeCell ref="C4:G4"/>
    <mergeCell ref="C3:H3"/>
    <mergeCell ref="C2:G2"/>
    <mergeCell ref="E11:F11"/>
    <mergeCell ref="E12:F12"/>
    <mergeCell ref="E13:F13"/>
  </mergeCells>
  <conditionalFormatting sqref="L41:L45">
    <cfRule type="cellIs" priority="2" dxfId="0" operator="greaterThan" stopIfTrue="1">
      <formula>0</formula>
    </cfRule>
  </conditionalFormatting>
  <dataValidations count="1">
    <dataValidation allowBlank="1" showInputMessage="1" showErrorMessage="1" promptTitle="Review Alert" prompt="If the same meal is being provided to congregate and home delivered clients the cost of the raw food should be the same per meal.If there is a difference in the cost per meal for raw food you must verify the reason for the diffference. " sqref="L41:L45 J41:K42"/>
  </dataValidations>
  <printOptions/>
  <pageMargins left="0.7" right="0.7" top="0.75" bottom="0.75" header="0.3" footer="0.3"/>
  <pageSetup fitToHeight="0" fitToWidth="1" horizontalDpi="600" verticalDpi="600" orientation="portrait" paperSize="5" scale="76" r:id="rId1"/>
  <rowBreaks count="2" manualBreakCount="2">
    <brk id="32" max="255" man="1"/>
    <brk id="69" max="10" man="1"/>
  </rowBreaks>
</worksheet>
</file>

<file path=xl/worksheets/sheet5.xml><?xml version="1.0" encoding="utf-8"?>
<worksheet xmlns="http://schemas.openxmlformats.org/spreadsheetml/2006/main" xmlns:r="http://schemas.openxmlformats.org/officeDocument/2006/relationships">
  <sheetPr codeName="Sheet5">
    <tabColor rgb="FF7030A0"/>
  </sheetPr>
  <dimension ref="A1:Q124"/>
  <sheetViews>
    <sheetView zoomScale="85" zoomScaleNormal="85" zoomScalePageLayoutView="0" workbookViewId="0" topLeftCell="B1">
      <selection activeCell="I9" sqref="I9:I12"/>
    </sheetView>
  </sheetViews>
  <sheetFormatPr defaultColWidth="9.140625" defaultRowHeight="12.75"/>
  <cols>
    <col min="1" max="1" width="3.57421875" style="316" customWidth="1"/>
    <col min="2" max="2" width="34.8515625" style="316" customWidth="1"/>
    <col min="3" max="3" width="11.7109375" style="461" customWidth="1"/>
    <col min="4" max="4" width="11.7109375" style="462" customWidth="1"/>
    <col min="5" max="5" width="12.140625" style="288" customWidth="1"/>
    <col min="6" max="6" width="11.7109375" style="457" customWidth="1"/>
    <col min="7" max="7" width="11.7109375" style="459" customWidth="1"/>
    <col min="8" max="8" width="3.421875" style="320" customWidth="1"/>
    <col min="9" max="9" width="17.8515625" style="460" customWidth="1"/>
    <col min="10" max="10" width="17.8515625" style="288" customWidth="1"/>
    <col min="11" max="11" width="17.8515625" style="457" customWidth="1"/>
    <col min="12" max="12" width="3.421875" style="320" customWidth="1"/>
    <col min="13" max="13" width="52.7109375" style="320" customWidth="1"/>
    <col min="14" max="14" width="3.8515625" style="320" customWidth="1"/>
    <col min="15" max="15" width="11.140625" style="320" customWidth="1"/>
    <col min="16" max="16" width="4.57421875" style="288" customWidth="1"/>
    <col min="17" max="19" width="15.7109375" style="288" customWidth="1"/>
    <col min="20" max="16384" width="9.140625" style="288" customWidth="1"/>
  </cols>
  <sheetData>
    <row r="1" spans="1:16" ht="18">
      <c r="A1" s="486"/>
      <c r="B1" s="779" t="s">
        <v>198</v>
      </c>
      <c r="C1" s="779"/>
      <c r="D1" s="779"/>
      <c r="E1" s="779"/>
      <c r="F1" s="779"/>
      <c r="G1" s="779"/>
      <c r="H1" s="779"/>
      <c r="I1" s="779"/>
      <c r="J1" s="779"/>
      <c r="K1" s="779"/>
      <c r="L1" s="779"/>
      <c r="M1" s="779"/>
      <c r="N1" s="779"/>
      <c r="O1" s="779"/>
      <c r="P1" s="479"/>
    </row>
    <row r="2" spans="1:16" ht="12.75" customHeight="1">
      <c r="A2" s="464"/>
      <c r="B2" s="646" t="s">
        <v>26</v>
      </c>
      <c r="C2" s="903">
        <f>'Provider Information'!$F$6</f>
        <v>0</v>
      </c>
      <c r="D2" s="903"/>
      <c r="E2" s="903"/>
      <c r="F2" s="903"/>
      <c r="G2" s="904"/>
      <c r="H2" s="365"/>
      <c r="I2" s="890" t="s">
        <v>256</v>
      </c>
      <c r="J2" s="890"/>
      <c r="K2" s="890"/>
      <c r="L2" s="890"/>
      <c r="M2" s="890"/>
      <c r="N2" s="890"/>
      <c r="O2" s="891"/>
      <c r="P2" s="474"/>
    </row>
    <row r="3" spans="1:16" ht="12.75" customHeight="1">
      <c r="A3" s="464"/>
      <c r="B3" s="644" t="s">
        <v>389</v>
      </c>
      <c r="C3" s="817" t="str">
        <f>+'Provider Information'!D21</f>
        <v>Area Agency on Aging of Deep East Texas</v>
      </c>
      <c r="D3" s="817"/>
      <c r="E3" s="817"/>
      <c r="F3" s="817"/>
      <c r="G3" s="905"/>
      <c r="H3" s="366"/>
      <c r="I3" s="890"/>
      <c r="J3" s="890"/>
      <c r="K3" s="890"/>
      <c r="L3" s="890"/>
      <c r="M3" s="890"/>
      <c r="N3" s="890"/>
      <c r="O3" s="891"/>
      <c r="P3" s="474"/>
    </row>
    <row r="4" spans="1:16" ht="12.75" customHeight="1">
      <c r="A4" s="465"/>
      <c r="B4" s="722" t="s">
        <v>390</v>
      </c>
      <c r="C4" s="906" t="str">
        <f>+'Provider Information'!E26</f>
        <v>Region 5</v>
      </c>
      <c r="D4" s="906"/>
      <c r="E4" s="906"/>
      <c r="F4" s="906"/>
      <c r="G4" s="907"/>
      <c r="H4" s="366"/>
      <c r="I4" s="890"/>
      <c r="J4" s="890"/>
      <c r="K4" s="890"/>
      <c r="L4" s="890"/>
      <c r="M4" s="890"/>
      <c r="N4" s="890"/>
      <c r="O4" s="891"/>
      <c r="P4" s="474"/>
    </row>
    <row r="5" spans="1:16" ht="12.75">
      <c r="A5" s="466"/>
      <c r="B5" s="367"/>
      <c r="C5" s="875">
        <f ca="1">NOW()</f>
        <v>44650.39911342593</v>
      </c>
      <c r="D5" s="875">
        <f ca="1">NOW()</f>
        <v>44650.39911342593</v>
      </c>
      <c r="E5" s="875">
        <f ca="1">NOW()</f>
        <v>44650.39911342593</v>
      </c>
      <c r="F5" s="875">
        <f ca="1">NOW()</f>
        <v>44650.39911342593</v>
      </c>
      <c r="G5" s="875">
        <f ca="1">NOW()</f>
        <v>44650.39911342593</v>
      </c>
      <c r="H5" s="368"/>
      <c r="I5" s="880" t="s">
        <v>5</v>
      </c>
      <c r="J5" s="880"/>
      <c r="K5" s="880"/>
      <c r="L5" s="369"/>
      <c r="M5" s="870"/>
      <c r="N5" s="871"/>
      <c r="O5" s="871"/>
      <c r="P5" s="474"/>
    </row>
    <row r="6" spans="1:16" ht="18" customHeight="1">
      <c r="A6" s="467"/>
      <c r="B6" s="853" t="s">
        <v>328</v>
      </c>
      <c r="C6" s="855">
        <v>2019</v>
      </c>
      <c r="D6" s="876"/>
      <c r="E6" s="876"/>
      <c r="F6" s="876"/>
      <c r="G6" s="877"/>
      <c r="H6" s="370"/>
      <c r="I6" s="881" t="s">
        <v>258</v>
      </c>
      <c r="J6" s="882"/>
      <c r="K6" s="882"/>
      <c r="L6" s="370"/>
      <c r="M6" s="892" t="s">
        <v>259</v>
      </c>
      <c r="N6" s="892"/>
      <c r="O6" s="893"/>
      <c r="P6" s="474"/>
    </row>
    <row r="7" spans="1:16" ht="18">
      <c r="A7" s="467"/>
      <c r="B7" s="854"/>
      <c r="C7" s="856"/>
      <c r="D7" s="878"/>
      <c r="E7" s="878"/>
      <c r="F7" s="878"/>
      <c r="G7" s="879"/>
      <c r="H7" s="371"/>
      <c r="I7" s="883"/>
      <c r="J7" s="884"/>
      <c r="K7" s="884"/>
      <c r="L7" s="371"/>
      <c r="M7" s="892"/>
      <c r="N7" s="892"/>
      <c r="O7" s="893"/>
      <c r="P7" s="474"/>
    </row>
    <row r="8" spans="1:16" ht="12.75">
      <c r="A8" s="466"/>
      <c r="B8" s="367"/>
      <c r="C8" s="880"/>
      <c r="D8" s="880"/>
      <c r="E8" s="880"/>
      <c r="F8" s="880"/>
      <c r="G8" s="880"/>
      <c r="H8" s="372"/>
      <c r="I8" s="373"/>
      <c r="J8" s="374"/>
      <c r="K8" s="375"/>
      <c r="L8" s="372"/>
      <c r="M8" s="794"/>
      <c r="N8" s="795"/>
      <c r="O8" s="795"/>
      <c r="P8" s="475"/>
    </row>
    <row r="9" spans="1:16" s="377" customFormat="1" ht="12.75">
      <c r="A9" s="468"/>
      <c r="B9" s="887" t="s">
        <v>204</v>
      </c>
      <c r="C9" s="896" t="s">
        <v>257</v>
      </c>
      <c r="D9" s="898" t="s">
        <v>251</v>
      </c>
      <c r="E9" s="900" t="s">
        <v>252</v>
      </c>
      <c r="F9" s="901" t="s">
        <v>253</v>
      </c>
      <c r="G9" s="894" t="s">
        <v>254</v>
      </c>
      <c r="H9" s="376"/>
      <c r="I9" s="849" t="s">
        <v>255</v>
      </c>
      <c r="J9" s="851" t="s">
        <v>260</v>
      </c>
      <c r="K9" s="868" t="s">
        <v>254</v>
      </c>
      <c r="L9" s="376"/>
      <c r="M9" s="885" t="s">
        <v>453</v>
      </c>
      <c r="N9" s="886"/>
      <c r="O9" s="755">
        <v>0.01009</v>
      </c>
      <c r="P9" s="476"/>
    </row>
    <row r="10" spans="1:16" s="377" customFormat="1" ht="12.75">
      <c r="A10" s="468"/>
      <c r="B10" s="888"/>
      <c r="C10" s="897"/>
      <c r="D10" s="899"/>
      <c r="E10" s="897"/>
      <c r="F10" s="902"/>
      <c r="G10" s="895"/>
      <c r="H10" s="376"/>
      <c r="I10" s="850"/>
      <c r="J10" s="852"/>
      <c r="K10" s="869"/>
      <c r="L10" s="376"/>
      <c r="M10" s="885" t="s">
        <v>456</v>
      </c>
      <c r="N10" s="886"/>
      <c r="O10" s="755">
        <v>0.01018</v>
      </c>
      <c r="P10" s="476"/>
    </row>
    <row r="11" spans="1:16" s="377" customFormat="1" ht="12.75">
      <c r="A11" s="468"/>
      <c r="B11" s="888"/>
      <c r="C11" s="897"/>
      <c r="D11" s="899"/>
      <c r="E11" s="897"/>
      <c r="F11" s="902"/>
      <c r="G11" s="895"/>
      <c r="H11" s="376"/>
      <c r="I11" s="850"/>
      <c r="J11" s="852"/>
      <c r="K11" s="869"/>
      <c r="L11" s="376"/>
      <c r="M11" s="885" t="s">
        <v>305</v>
      </c>
      <c r="N11" s="886"/>
      <c r="O11" s="752">
        <f>SUM(O9:O10)</f>
        <v>0.02027</v>
      </c>
      <c r="P11" s="476"/>
    </row>
    <row r="12" spans="1:16" s="377" customFormat="1" ht="89.25" customHeight="1">
      <c r="A12" s="468"/>
      <c r="B12" s="888"/>
      <c r="C12" s="897"/>
      <c r="D12" s="899"/>
      <c r="E12" s="897"/>
      <c r="F12" s="902"/>
      <c r="G12" s="895"/>
      <c r="H12" s="376"/>
      <c r="I12" s="850"/>
      <c r="J12" s="852"/>
      <c r="K12" s="869"/>
      <c r="L12" s="376"/>
      <c r="M12" s="872" t="s">
        <v>416</v>
      </c>
      <c r="N12" s="873"/>
      <c r="O12" s="873"/>
      <c r="P12" s="476"/>
    </row>
    <row r="13" spans="1:16" s="304" customFormat="1" ht="12.75">
      <c r="A13" s="469"/>
      <c r="B13" s="867" t="s">
        <v>231</v>
      </c>
      <c r="C13" s="874"/>
      <c r="D13" s="874"/>
      <c r="E13" s="874"/>
      <c r="F13" s="874"/>
      <c r="G13" s="874"/>
      <c r="H13" s="378"/>
      <c r="I13" s="379"/>
      <c r="J13" s="380"/>
      <c r="K13" s="381"/>
      <c r="L13" s="378"/>
      <c r="M13" s="382"/>
      <c r="N13" s="383"/>
      <c r="O13" s="383"/>
      <c r="P13" s="477"/>
    </row>
    <row r="14" spans="1:16" s="88" customFormat="1" ht="12.75">
      <c r="A14" s="470"/>
      <c r="B14" s="109" t="s">
        <v>205</v>
      </c>
      <c r="C14" s="82"/>
      <c r="D14" s="384"/>
      <c r="E14" s="123">
        <f>+D14-C14</f>
        <v>0</v>
      </c>
      <c r="F14" s="385">
        <f>IF(+C14+D14=0,0,(IF(AND(+C14=0,D14&gt;0),1,(IF(AND(+C14&gt;0,D14=0),-1,+C14/+D14-1)))))</f>
        <v>0</v>
      </c>
      <c r="G14" s="186"/>
      <c r="H14" s="386"/>
      <c r="I14" s="387">
        <f>+'Provider Total Budget by Serv'!D17+'Provider Total Budget by Serv'!D29</f>
        <v>0</v>
      </c>
      <c r="J14" s="388">
        <f>IF(I14+C14=0,0,(IF(AND(I14=0,C14&gt;0),-1,(IF(AND(I14&gt;0,C14=0),1,+I14/C14-1)))))</f>
        <v>0</v>
      </c>
      <c r="K14" s="251"/>
      <c r="L14" s="386"/>
      <c r="M14" s="889"/>
      <c r="N14" s="860"/>
      <c r="O14" s="861"/>
      <c r="P14" s="478"/>
    </row>
    <row r="15" spans="1:16" s="88" customFormat="1" ht="12.75">
      <c r="A15" s="471"/>
      <c r="B15" s="110" t="s">
        <v>206</v>
      </c>
      <c r="C15" s="84"/>
      <c r="D15" s="390"/>
      <c r="E15" s="391">
        <f>+D15-C15</f>
        <v>0</v>
      </c>
      <c r="F15" s="392">
        <f>IF(+C15+D15=0,0,(IF(AND(+C15=0,D15&gt;0),1,(IF(AND(+C15&gt;0,D15=0),-1,+C15/+D15-1)))))</f>
        <v>0</v>
      </c>
      <c r="G15" s="185"/>
      <c r="H15" s="358"/>
      <c r="I15" s="192">
        <f>+'Provider Total Budget by Serv'!D36</f>
        <v>0</v>
      </c>
      <c r="J15" s="185">
        <f>IF(I15+C15=0,0,(IF(AND(I15=0,C15&gt;0),-1,(IF(AND(I15&gt;0,C15=0),1,+I15/C15-1)))))</f>
        <v>0</v>
      </c>
      <c r="K15" s="252"/>
      <c r="L15" s="358"/>
      <c r="M15" s="860"/>
      <c r="N15" s="860"/>
      <c r="O15" s="861"/>
      <c r="P15" s="478"/>
    </row>
    <row r="16" spans="1:16" s="88" customFormat="1" ht="12.75">
      <c r="A16" s="471"/>
      <c r="B16" s="110" t="s">
        <v>1</v>
      </c>
      <c r="C16" s="706">
        <f>SUM(C14:C15)</f>
        <v>0</v>
      </c>
      <c r="D16" s="707">
        <f>SUM(D14:D15)</f>
        <v>0</v>
      </c>
      <c r="E16" s="708">
        <f>+D16-C16</f>
        <v>0</v>
      </c>
      <c r="F16" s="394">
        <f>IF(+C16+D16=0,0,(IF(AND(+C16=0,D16&gt;0),1,(IF(AND(+C16&gt;0,D16=0),-1,+C16/+D16-1)))))</f>
        <v>0</v>
      </c>
      <c r="G16" s="395">
        <f>IF(AND(C16&gt;0,C$80&gt;0),+C16/C$80,0)</f>
        <v>0</v>
      </c>
      <c r="H16" s="358"/>
      <c r="I16" s="709">
        <f>SUM(I14:I15)</f>
        <v>0</v>
      </c>
      <c r="J16" s="710">
        <f>IF(I16+C16=0,0,(IF(AND(I16=0,C16&gt;0),-1,(IF(AND(I16&gt;0,C16=0),1,+I16/C16-1)))))</f>
        <v>0</v>
      </c>
      <c r="K16" s="711" t="e">
        <f>IF(AND(I16&gt;0,I$80&gt;0),+I16/I$80,0)</f>
        <v>#DIV/0!</v>
      </c>
      <c r="L16" s="358"/>
      <c r="M16" s="860"/>
      <c r="N16" s="860"/>
      <c r="O16" s="861"/>
      <c r="P16" s="478"/>
    </row>
    <row r="17" spans="1:16" s="88" customFormat="1" ht="12.75">
      <c r="A17" s="472"/>
      <c r="B17" s="781" t="s">
        <v>238</v>
      </c>
      <c r="C17" s="781"/>
      <c r="D17" s="781"/>
      <c r="E17" s="781"/>
      <c r="F17" s="781"/>
      <c r="G17" s="867"/>
      <c r="H17" s="241"/>
      <c r="I17" s="397"/>
      <c r="J17" s="398"/>
      <c r="K17" s="399"/>
      <c r="L17" s="306"/>
      <c r="M17" s="400"/>
      <c r="N17" s="400"/>
      <c r="O17" s="400"/>
      <c r="P17" s="478"/>
    </row>
    <row r="18" spans="1:16" s="88" customFormat="1" ht="12.75">
      <c r="A18" s="470"/>
      <c r="B18" s="108" t="s">
        <v>205</v>
      </c>
      <c r="C18" s="82"/>
      <c r="D18" s="401"/>
      <c r="E18" s="123">
        <f>+D18-C18</f>
        <v>0</v>
      </c>
      <c r="F18" s="385">
        <f>IF(+C18+D18=0,0,(IF(AND(+C18=0,D18&gt;0),1,(IF(AND(+C18&gt;0,D18=0),-1,+C18/+D18-1)))))</f>
        <v>0</v>
      </c>
      <c r="G18" s="402"/>
      <c r="H18" s="358"/>
      <c r="I18" s="190" t="e">
        <f>IF('Provider Total Budget by Serv'!E300="N",+'Provider Total Budget by Serv'!F17+'Provider Total Budget by Serv'!F29,((+'Provider Total Budget by Serv'!E17+'Provider Total Budget by Serv'!E29)*'Provider Total Budget by Serv'!D303)+'Provider Total Budget by Serv'!F17+'Provider Total Budget by Serv'!F29)</f>
        <v>#DIV/0!</v>
      </c>
      <c r="J18" s="186" t="e">
        <f>IF(I18+C18=0,0,(IF(AND(I18=0,C18&gt;0),-1,(IF(AND(I18&gt;0,C18=0),1,+I18/C18-1)))))</f>
        <v>#DIV/0!</v>
      </c>
      <c r="K18" s="250"/>
      <c r="L18" s="358"/>
      <c r="M18" s="889"/>
      <c r="N18" s="860"/>
      <c r="O18" s="861"/>
      <c r="P18" s="478"/>
    </row>
    <row r="19" spans="1:16" s="88" customFormat="1" ht="12.75">
      <c r="A19" s="471"/>
      <c r="B19" s="109" t="s">
        <v>206</v>
      </c>
      <c r="C19" s="83"/>
      <c r="D19" s="403"/>
      <c r="E19" s="123">
        <f>+D19-C19</f>
        <v>0</v>
      </c>
      <c r="F19" s="385">
        <f>IF(+C19+D19=0,0,(IF(AND(+C19=0,D19&gt;0),1,(IF(AND(+C19&gt;0,D19=0),-1,+C19/+D19-1)))))</f>
        <v>0</v>
      </c>
      <c r="G19" s="187"/>
      <c r="H19" s="358"/>
      <c r="I19" s="191" t="e">
        <f>IF('Provider Total Budget by Serv'!E300="N",+'Provider Total Budget by Serv'!F36,(+'Provider Total Budget by Serv'!E36*'Provider Total Budget by Serv'!D303)+'Provider Total Budget by Serv'!F36)</f>
        <v>#DIV/0!</v>
      </c>
      <c r="J19" s="187" t="e">
        <f>IF(I19+C19=0,0,(IF(AND(I19=0,C19&gt;0),-1,(IF(AND(I19&gt;0,C19=0),1,+I19/C19-1)))))</f>
        <v>#DIV/0!</v>
      </c>
      <c r="K19" s="251"/>
      <c r="L19" s="358"/>
      <c r="M19" s="860"/>
      <c r="N19" s="860"/>
      <c r="O19" s="861"/>
      <c r="P19" s="478"/>
    </row>
    <row r="20" spans="1:16" s="88" customFormat="1" ht="12.75">
      <c r="A20" s="471"/>
      <c r="B20" s="109" t="s">
        <v>209</v>
      </c>
      <c r="C20" s="83"/>
      <c r="D20" s="403"/>
      <c r="E20" s="123">
        <f>+D20-C20</f>
        <v>0</v>
      </c>
      <c r="F20" s="385">
        <f>IF(+C20+D20=0,0,(IF(AND(+C20=0,D20&gt;0),1,(IF(AND(+C20&gt;0,D20=0),-1,+C20/+D20-1)))))</f>
        <v>0</v>
      </c>
      <c r="G20" s="187"/>
      <c r="H20" s="358"/>
      <c r="I20" s="191" t="e">
        <f>IF('Provider Total Budget by Serv'!E300="N",+'Provider Total Budget by Serv'!F53,(+'Provider Total Budget by Serv'!E53*'Provider Total Budget by Serv'!D303)+'Provider Total Budget by Serv'!F53)</f>
        <v>#DIV/0!</v>
      </c>
      <c r="J20" s="187" t="e">
        <f>IF(I20+C20=0,0,(IF(AND(I20=0,C20&gt;0),-1,(IF(AND(I20&gt;0,C20=0),1,+I20/C20-1)))))</f>
        <v>#DIV/0!</v>
      </c>
      <c r="K20" s="251"/>
      <c r="L20" s="358"/>
      <c r="M20" s="860"/>
      <c r="N20" s="860"/>
      <c r="O20" s="861"/>
      <c r="P20" s="478"/>
    </row>
    <row r="21" spans="1:16" s="88" customFormat="1" ht="12.75">
      <c r="A21" s="471"/>
      <c r="B21" s="110" t="s">
        <v>207</v>
      </c>
      <c r="C21" s="84"/>
      <c r="D21" s="390"/>
      <c r="E21" s="391">
        <f>+D21-C21</f>
        <v>0</v>
      </c>
      <c r="F21" s="404">
        <f>IF(+C21+D21=0,0,(IF(AND(+C21=0,D21&gt;0),1,(IF(AND(+C21&gt;0,D21=0),-1,+C21/+D21-1)))))</f>
        <v>0</v>
      </c>
      <c r="G21" s="185"/>
      <c r="H21" s="358"/>
      <c r="I21" s="192" t="e">
        <f>IF('Provider Total Budget by Serv'!E300="N",+'Provider Total Budget by Serv'!F43,(+'Provider Total Budget by Serv'!E43*'Provider Total Budget by Serv'!D303)+'Provider Total Budget by Serv'!F43)</f>
        <v>#DIV/0!</v>
      </c>
      <c r="J21" s="185" t="e">
        <f>IF(I21+C21=0,0,(IF(AND(I21=0,C21&gt;0),-1,(IF(AND(I21&gt;0,C21=0),1,+I21/C21-1)))))</f>
        <v>#DIV/0!</v>
      </c>
      <c r="K21" s="252"/>
      <c r="L21" s="358"/>
      <c r="M21" s="860"/>
      <c r="N21" s="860"/>
      <c r="O21" s="861"/>
      <c r="P21" s="478"/>
    </row>
    <row r="22" spans="1:16" s="88" customFormat="1" ht="12.75">
      <c r="A22" s="471"/>
      <c r="B22" s="110" t="s">
        <v>1</v>
      </c>
      <c r="C22" s="90">
        <f>SUM(C18:C21)</f>
        <v>0</v>
      </c>
      <c r="D22" s="393">
        <f>SUM(D18:D21)</f>
        <v>0</v>
      </c>
      <c r="E22" s="123">
        <f>+D22-C22</f>
        <v>0</v>
      </c>
      <c r="F22" s="394">
        <f>IF(+C22+D22=0,0,(IF(AND(+C22=0,D22&gt;0),1,(IF(AND(+C22&gt;0,D22=0),-1,+C22/+D22-1)))))</f>
        <v>0</v>
      </c>
      <c r="G22" s="185">
        <f>IF(AND(C22&gt;0,C$80&gt;0),+C22/C$80,0)</f>
        <v>0</v>
      </c>
      <c r="H22" s="358"/>
      <c r="I22" s="193" t="e">
        <f>SUM(I18:I21)</f>
        <v>#DIV/0!</v>
      </c>
      <c r="J22" s="185" t="e">
        <f>IF(I22+C22=0,0,(IF(AND(I22=0,C22&gt;0),-1,(IF(AND(I22&gt;0,C22=0),1,+I22/C22-1)))))</f>
        <v>#DIV/0!</v>
      </c>
      <c r="K22" s="396" t="e">
        <f>IF(AND(I22&gt;0,I$80&gt;0),+I22/I$80,0)</f>
        <v>#DIV/0!</v>
      </c>
      <c r="L22" s="358"/>
      <c r="M22" s="860"/>
      <c r="N22" s="860"/>
      <c r="O22" s="861"/>
      <c r="P22" s="478"/>
    </row>
    <row r="23" spans="1:16" s="88" customFormat="1" ht="12.75" customHeight="1">
      <c r="A23" s="472"/>
      <c r="B23" s="781" t="s">
        <v>232</v>
      </c>
      <c r="C23" s="781"/>
      <c r="D23" s="781"/>
      <c r="E23" s="781"/>
      <c r="F23" s="781"/>
      <c r="G23" s="867"/>
      <c r="H23" s="358"/>
      <c r="I23" s="397"/>
      <c r="J23" s="398"/>
      <c r="K23" s="399"/>
      <c r="L23" s="358"/>
      <c r="M23" s="400"/>
      <c r="N23" s="400"/>
      <c r="O23" s="400"/>
      <c r="P23" s="478"/>
    </row>
    <row r="24" spans="1:16" s="88" customFormat="1" ht="12.75">
      <c r="A24" s="470"/>
      <c r="B24" s="109" t="s">
        <v>207</v>
      </c>
      <c r="C24" s="82"/>
      <c r="D24" s="405"/>
      <c r="E24" s="123">
        <f>+D24-C24</f>
        <v>0</v>
      </c>
      <c r="F24" s="124">
        <f>IF(+C24+D24=0,0,(IF(AND(+C24=0,D24&gt;0),1,(IF(AND(+C24&gt;0,D24=0),-1,+C24/+D24-1)))))</f>
        <v>0</v>
      </c>
      <c r="G24" s="402"/>
      <c r="H24" s="358"/>
      <c r="I24" s="191">
        <f>+'Provider Total Budget by Serv'!D43</f>
        <v>0</v>
      </c>
      <c r="J24" s="187">
        <f>IF(I24+C24=0,0,(IF(AND(I24=0,C24&gt;0),-1,(IF(AND(I24&gt;0,C24=0),1,+I24/C24-1)))))</f>
        <v>0</v>
      </c>
      <c r="K24" s="251"/>
      <c r="L24" s="358"/>
      <c r="M24" s="859"/>
      <c r="N24" s="860"/>
      <c r="O24" s="861"/>
      <c r="P24" s="478"/>
    </row>
    <row r="25" spans="1:16" s="88" customFormat="1" ht="12.75">
      <c r="A25" s="471"/>
      <c r="B25" s="109" t="s">
        <v>208</v>
      </c>
      <c r="C25" s="83"/>
      <c r="D25" s="122"/>
      <c r="E25" s="123">
        <f>+D25-C25</f>
        <v>0</v>
      </c>
      <c r="F25" s="124">
        <f>IF(+C25+D25=0,0,(IF(AND(+C25=0,D25&gt;0),1,(IF(AND(+C25&gt;0,D25=0),-1,+C25/+D25-1)))))</f>
        <v>0</v>
      </c>
      <c r="G25" s="187"/>
      <c r="H25" s="358"/>
      <c r="I25" s="191">
        <f>+'Provider Total Budget by Serv'!D48</f>
        <v>0</v>
      </c>
      <c r="J25" s="187">
        <f>IF(I25+C25=0,0,(IF(AND(I25=0,C25&gt;0),-1,(IF(AND(I25&gt;0,C25=0),1,+I25/C25-1)))))</f>
        <v>0</v>
      </c>
      <c r="K25" s="251"/>
      <c r="L25" s="358"/>
      <c r="M25" s="860"/>
      <c r="N25" s="860"/>
      <c r="O25" s="861"/>
      <c r="P25" s="478"/>
    </row>
    <row r="26" spans="1:16" s="88" customFormat="1" ht="12.75">
      <c r="A26" s="471"/>
      <c r="B26" s="110" t="s">
        <v>209</v>
      </c>
      <c r="C26" s="84"/>
      <c r="D26" s="390"/>
      <c r="E26" s="391">
        <f>+D26-C26</f>
        <v>0</v>
      </c>
      <c r="F26" s="392">
        <f>IF(+C26+D26=0,0,(IF(AND(+C26=0,D26&gt;0),1,(IF(AND(+C26&gt;0,D26=0),-1,+C26/+D26-1)))))</f>
        <v>0</v>
      </c>
      <c r="G26" s="185"/>
      <c r="H26" s="358"/>
      <c r="I26" s="192">
        <f>+'Provider Total Budget by Serv'!D53</f>
        <v>0</v>
      </c>
      <c r="J26" s="185">
        <f>IF(I26+C26=0,0,(IF(AND(I26=0,C26&gt;0),-1,(IF(AND(I26&gt;0,C26=0),1,+I26/C26-1)))))</f>
        <v>0</v>
      </c>
      <c r="K26" s="252"/>
      <c r="L26" s="358"/>
      <c r="M26" s="860"/>
      <c r="N26" s="860"/>
      <c r="O26" s="861"/>
      <c r="P26" s="478"/>
    </row>
    <row r="27" spans="1:16" s="88" customFormat="1" ht="12.75">
      <c r="A27" s="471"/>
      <c r="B27" s="110" t="s">
        <v>1</v>
      </c>
      <c r="C27" s="90">
        <f>SUM(C24:C26)</f>
        <v>0</v>
      </c>
      <c r="D27" s="91">
        <f>SUM(D24:D26)</f>
        <v>0</v>
      </c>
      <c r="E27" s="123">
        <f>+D27-C27</f>
        <v>0</v>
      </c>
      <c r="F27" s="394">
        <f>IF(+C27+D27=0,0,(IF(AND(+C27=0,D27&gt;0),1,(IF(AND(+C27&gt;0,D27=0),-1,+C27/+D27-1)))))</f>
        <v>0</v>
      </c>
      <c r="G27" s="185">
        <f>IF(AND(C27&gt;0,C$80&gt;0),+C27/C$80,0)</f>
        <v>0</v>
      </c>
      <c r="H27" s="358"/>
      <c r="I27" s="193">
        <f>SUM(I24:I26)</f>
        <v>0</v>
      </c>
      <c r="J27" s="185">
        <f>IF(I27+C27=0,0,(IF(AND(I27=0,C27&gt;0),-1,(IF(AND(I27&gt;0,C27=0),1,+I27/C27-1)))))</f>
        <v>0</v>
      </c>
      <c r="K27" s="396" t="e">
        <f>IF(AND(I27&gt;0,I$80&gt;0),+I27/I$80,0)</f>
        <v>#DIV/0!</v>
      </c>
      <c r="L27" s="358"/>
      <c r="M27" s="860"/>
      <c r="N27" s="860"/>
      <c r="O27" s="861"/>
      <c r="P27" s="478"/>
    </row>
    <row r="28" spans="1:16" s="88" customFormat="1" ht="12.75">
      <c r="A28" s="472"/>
      <c r="B28" s="781" t="s">
        <v>233</v>
      </c>
      <c r="C28" s="781"/>
      <c r="D28" s="781"/>
      <c r="E28" s="781"/>
      <c r="F28" s="781"/>
      <c r="G28" s="867"/>
      <c r="H28" s="358"/>
      <c r="I28" s="397"/>
      <c r="J28" s="398"/>
      <c r="K28" s="399"/>
      <c r="L28" s="358"/>
      <c r="M28" s="400"/>
      <c r="N28" s="400"/>
      <c r="O28" s="400"/>
      <c r="P28" s="478"/>
    </row>
    <row r="29" spans="1:16" s="88" customFormat="1" ht="12.75">
      <c r="A29" s="470"/>
      <c r="B29" s="109" t="s">
        <v>20</v>
      </c>
      <c r="C29" s="82"/>
      <c r="D29" s="122"/>
      <c r="E29" s="123">
        <f aca="true" t="shared" si="0" ref="E29:E35">+D29-C29</f>
        <v>0</v>
      </c>
      <c r="F29" s="124">
        <f aca="true" t="shared" si="1" ref="F29:F35">IF(+C29+D29=0,0,(IF(AND(+C29=0,D29&gt;0),1,(IF(AND(+C29&gt;0,D29=0),-1,+C29/+D29-1)))))</f>
        <v>0</v>
      </c>
      <c r="G29" s="402"/>
      <c r="H29" s="358"/>
      <c r="I29" s="191">
        <f>+'Provider Total Budget by Serv'!D61</f>
        <v>0</v>
      </c>
      <c r="J29" s="187">
        <f aca="true" t="shared" si="2" ref="J29:J35">IF(I29+C29=0,0,(IF(AND(I29=0,C29&gt;0),-1,(IF(AND(I29&gt;0,C29=0),1,+I29/C29-1)))))</f>
        <v>0</v>
      </c>
      <c r="K29" s="251"/>
      <c r="L29" s="358"/>
      <c r="M29" s="859"/>
      <c r="N29" s="860"/>
      <c r="O29" s="861"/>
      <c r="P29" s="478"/>
    </row>
    <row r="30" spans="1:16" s="88" customFormat="1" ht="12.75">
      <c r="A30" s="471"/>
      <c r="B30" s="121" t="s">
        <v>244</v>
      </c>
      <c r="C30" s="83"/>
      <c r="D30" s="122"/>
      <c r="E30" s="123">
        <f t="shared" si="0"/>
        <v>0</v>
      </c>
      <c r="F30" s="124">
        <f t="shared" si="1"/>
        <v>0</v>
      </c>
      <c r="G30" s="187"/>
      <c r="H30" s="358"/>
      <c r="I30" s="191">
        <f>+'Provider Total Budget by Serv'!D68</f>
        <v>0</v>
      </c>
      <c r="J30" s="187">
        <f t="shared" si="2"/>
        <v>0</v>
      </c>
      <c r="K30" s="251"/>
      <c r="L30" s="358"/>
      <c r="M30" s="860"/>
      <c r="N30" s="860"/>
      <c r="O30" s="861"/>
      <c r="P30" s="478"/>
    </row>
    <row r="31" spans="1:16" s="88" customFormat="1" ht="12.75">
      <c r="A31" s="471"/>
      <c r="B31" s="109" t="s">
        <v>21</v>
      </c>
      <c r="C31" s="83"/>
      <c r="D31" s="122"/>
      <c r="E31" s="123">
        <f t="shared" si="0"/>
        <v>0</v>
      </c>
      <c r="F31" s="124">
        <f t="shared" si="1"/>
        <v>0</v>
      </c>
      <c r="G31" s="187"/>
      <c r="H31" s="358"/>
      <c r="I31" s="191">
        <f>+'Provider Total Budget by Serv'!D73</f>
        <v>0</v>
      </c>
      <c r="J31" s="187">
        <f t="shared" si="2"/>
        <v>0</v>
      </c>
      <c r="K31" s="251"/>
      <c r="L31" s="358"/>
      <c r="M31" s="860"/>
      <c r="N31" s="860"/>
      <c r="O31" s="861"/>
      <c r="P31" s="478"/>
    </row>
    <row r="32" spans="1:16" s="88" customFormat="1" ht="12.75">
      <c r="A32" s="471"/>
      <c r="B32" s="109" t="s">
        <v>216</v>
      </c>
      <c r="C32" s="83"/>
      <c r="D32" s="122"/>
      <c r="E32" s="123">
        <f t="shared" si="0"/>
        <v>0</v>
      </c>
      <c r="F32" s="254">
        <f t="shared" si="1"/>
        <v>0</v>
      </c>
      <c r="G32" s="406"/>
      <c r="H32" s="358"/>
      <c r="I32" s="191">
        <f>+'Provider Total Budget by Serv'!D78</f>
        <v>0</v>
      </c>
      <c r="J32" s="187">
        <f t="shared" si="2"/>
        <v>0</v>
      </c>
      <c r="K32" s="251"/>
      <c r="L32" s="358"/>
      <c r="M32" s="860"/>
      <c r="N32" s="860"/>
      <c r="O32" s="861"/>
      <c r="P32" s="478"/>
    </row>
    <row r="33" spans="1:16" s="88" customFormat="1" ht="12.75">
      <c r="A33" s="471"/>
      <c r="B33" s="109" t="s">
        <v>217</v>
      </c>
      <c r="C33" s="83"/>
      <c r="D33" s="122"/>
      <c r="E33" s="123">
        <f t="shared" si="0"/>
        <v>0</v>
      </c>
      <c r="F33" s="254">
        <f t="shared" si="1"/>
        <v>0</v>
      </c>
      <c r="G33" s="187"/>
      <c r="H33" s="358"/>
      <c r="I33" s="191">
        <f>+'Provider Total Budget by Serv'!D87</f>
        <v>0</v>
      </c>
      <c r="J33" s="187">
        <f t="shared" si="2"/>
        <v>0</v>
      </c>
      <c r="K33" s="251"/>
      <c r="L33" s="358"/>
      <c r="M33" s="860"/>
      <c r="N33" s="860"/>
      <c r="O33" s="861"/>
      <c r="P33" s="478"/>
    </row>
    <row r="34" spans="1:16" s="88" customFormat="1" ht="12.75">
      <c r="A34" s="471"/>
      <c r="B34" s="110" t="s">
        <v>220</v>
      </c>
      <c r="C34" s="84"/>
      <c r="D34" s="407"/>
      <c r="E34" s="391">
        <f t="shared" si="0"/>
        <v>0</v>
      </c>
      <c r="F34" s="408">
        <f t="shared" si="1"/>
        <v>0</v>
      </c>
      <c r="G34" s="185"/>
      <c r="H34" s="358"/>
      <c r="I34" s="192">
        <f>+'Provider Total Budget by Serv'!D92</f>
        <v>0</v>
      </c>
      <c r="J34" s="185">
        <f t="shared" si="2"/>
        <v>0</v>
      </c>
      <c r="K34" s="252"/>
      <c r="L34" s="358"/>
      <c r="M34" s="860"/>
      <c r="N34" s="860"/>
      <c r="O34" s="861"/>
      <c r="P34" s="478"/>
    </row>
    <row r="35" spans="1:16" s="88" customFormat="1" ht="12.75">
      <c r="A35" s="471"/>
      <c r="B35" s="110" t="s">
        <v>1</v>
      </c>
      <c r="C35" s="90">
        <f>SUM(C29:C34)</f>
        <v>0</v>
      </c>
      <c r="D35" s="91">
        <f>SUM(D29:D34)</f>
        <v>0</v>
      </c>
      <c r="E35" s="123">
        <f t="shared" si="0"/>
        <v>0</v>
      </c>
      <c r="F35" s="394">
        <f t="shared" si="1"/>
        <v>0</v>
      </c>
      <c r="G35" s="185">
        <f>IF(AND(C35&gt;0,C$80&gt;0),+C35/C$80,0)</f>
        <v>0</v>
      </c>
      <c r="H35" s="358"/>
      <c r="I35" s="193">
        <f>SUM(I29:I34)</f>
        <v>0</v>
      </c>
      <c r="J35" s="185">
        <f t="shared" si="2"/>
        <v>0</v>
      </c>
      <c r="K35" s="396" t="e">
        <f>IF(AND(I35&gt;0,I$80&gt;0),+I35/I$80,0)</f>
        <v>#DIV/0!</v>
      </c>
      <c r="L35" s="358"/>
      <c r="M35" s="860"/>
      <c r="N35" s="860"/>
      <c r="O35" s="861"/>
      <c r="P35" s="478"/>
    </row>
    <row r="36" spans="1:16" s="88" customFormat="1" ht="12.75">
      <c r="A36" s="472"/>
      <c r="B36" s="781" t="s">
        <v>234</v>
      </c>
      <c r="C36" s="781"/>
      <c r="D36" s="781"/>
      <c r="E36" s="781"/>
      <c r="F36" s="781"/>
      <c r="G36" s="867"/>
      <c r="H36" s="358"/>
      <c r="I36" s="397"/>
      <c r="J36" s="398"/>
      <c r="K36" s="399"/>
      <c r="L36" s="358"/>
      <c r="M36" s="400"/>
      <c r="N36" s="400"/>
      <c r="O36" s="400"/>
      <c r="P36" s="478"/>
    </row>
    <row r="37" spans="1:16" s="88" customFormat="1" ht="12.75">
      <c r="A37" s="470"/>
      <c r="B37" s="109" t="s">
        <v>210</v>
      </c>
      <c r="C37" s="82"/>
      <c r="D37" s="122"/>
      <c r="E37" s="123">
        <f>+D37-C37</f>
        <v>0</v>
      </c>
      <c r="F37" s="124">
        <f>IF(+C37+D37=0,0,(IF(AND(+C37=0,D37&gt;0),1,(IF(AND(+C37&gt;0,D37=0),-1,+C37/+D37-1)))))</f>
        <v>0</v>
      </c>
      <c r="G37" s="406"/>
      <c r="H37" s="358"/>
      <c r="I37" s="191">
        <f>+'Provider Total Budget by Serv'!D99</f>
        <v>0</v>
      </c>
      <c r="J37" s="187">
        <f>IF(I37+C37=0,0,(IF(AND(I37=0,C37&gt;0),-1,(IF(AND(I37&gt;0,C37=0),1,+I37/C37-1)))))</f>
        <v>0</v>
      </c>
      <c r="K37" s="251"/>
      <c r="L37" s="358"/>
      <c r="M37" s="859"/>
      <c r="N37" s="860"/>
      <c r="O37" s="861"/>
      <c r="P37" s="478"/>
    </row>
    <row r="38" spans="1:16" s="88" customFormat="1" ht="12.75">
      <c r="A38" s="471"/>
      <c r="B38" s="109" t="s">
        <v>4</v>
      </c>
      <c r="C38" s="83"/>
      <c r="D38" s="122"/>
      <c r="E38" s="123">
        <f>+D38-C38</f>
        <v>0</v>
      </c>
      <c r="F38" s="124">
        <f>IF(+C38+D38=0,0,(IF(AND(+C38=0,D38&gt;0),1,(IF(AND(+C38&gt;0,D38=0),-1,+C38/+D38-1)))))</f>
        <v>0</v>
      </c>
      <c r="G38" s="187"/>
      <c r="H38" s="358"/>
      <c r="I38" s="191">
        <f>+'Provider Total Budget by Serv'!D104</f>
        <v>0</v>
      </c>
      <c r="J38" s="187">
        <f>IF(I38+C38=0,0,(IF(AND(I38=0,C38&gt;0),-1,(IF(AND(I38&gt;0,C38=0),1,+I38/C38-1)))))</f>
        <v>0</v>
      </c>
      <c r="K38" s="251"/>
      <c r="L38" s="358"/>
      <c r="M38" s="860"/>
      <c r="N38" s="860"/>
      <c r="O38" s="861"/>
      <c r="P38" s="478"/>
    </row>
    <row r="39" spans="1:16" s="88" customFormat="1" ht="12.75">
      <c r="A39" s="471"/>
      <c r="B39" s="109" t="s">
        <v>211</v>
      </c>
      <c r="C39" s="83"/>
      <c r="D39" s="122"/>
      <c r="E39" s="123">
        <f>+D39-C39</f>
        <v>0</v>
      </c>
      <c r="F39" s="124">
        <f>IF(+C39+D39=0,0,(IF(AND(+C39=0,D39&gt;0),1,(IF(AND(+C39&gt;0,D39=0),-1,+C39/+D39-1)))))</f>
        <v>0</v>
      </c>
      <c r="G39" s="187"/>
      <c r="H39" s="358"/>
      <c r="I39" s="191">
        <f>+'Provider Total Budget by Serv'!D109</f>
        <v>0</v>
      </c>
      <c r="J39" s="187">
        <f>IF(I39+C39=0,0,(IF(AND(I39=0,C39&gt;0),-1,(IF(AND(I39&gt;0,C39=0),1,+I39/C39-1)))))</f>
        <v>0</v>
      </c>
      <c r="K39" s="251"/>
      <c r="L39" s="358"/>
      <c r="M39" s="860"/>
      <c r="N39" s="860"/>
      <c r="O39" s="861"/>
      <c r="P39" s="478"/>
    </row>
    <row r="40" spans="1:16" s="88" customFormat="1" ht="12.75">
      <c r="A40" s="471"/>
      <c r="B40" s="110" t="s">
        <v>212</v>
      </c>
      <c r="C40" s="84"/>
      <c r="D40" s="390"/>
      <c r="E40" s="391">
        <f>+D40-C40</f>
        <v>0</v>
      </c>
      <c r="F40" s="392">
        <f>IF(+C40+D40=0,0,(IF(AND(+C40=0,D40&gt;0),1,(IF(AND(+C40&gt;0,D40=0),-1,+C40/+D40-1)))))</f>
        <v>0</v>
      </c>
      <c r="G40" s="185"/>
      <c r="H40" s="358"/>
      <c r="I40" s="192">
        <f>+'Provider Total Budget by Serv'!D114</f>
        <v>0</v>
      </c>
      <c r="J40" s="185">
        <f>IF(I40+C40=0,0,(IF(AND(I40=0,C40&gt;0),-1,(IF(AND(I40&gt;0,C40=0),1,+I40/C40-1)))))</f>
        <v>0</v>
      </c>
      <c r="K40" s="252"/>
      <c r="L40" s="358"/>
      <c r="M40" s="860"/>
      <c r="N40" s="860"/>
      <c r="O40" s="861"/>
      <c r="P40" s="478"/>
    </row>
    <row r="41" spans="1:16" s="88" customFormat="1" ht="12.75">
      <c r="A41" s="471"/>
      <c r="B41" s="110" t="s">
        <v>1</v>
      </c>
      <c r="C41" s="90">
        <f>SUM(C37:C40)</f>
        <v>0</v>
      </c>
      <c r="D41" s="91">
        <f>SUM(D37:D40)</f>
        <v>0</v>
      </c>
      <c r="E41" s="123">
        <f>+D41-C41</f>
        <v>0</v>
      </c>
      <c r="F41" s="394">
        <f>IF(+C41+D41=0,0,(IF(AND(+C41=0,D41&gt;0),1,(IF(AND(+C41&gt;0,D41=0),-1,+C41/+D41-1)))))</f>
        <v>0</v>
      </c>
      <c r="G41" s="185">
        <f>IF(AND(C41&gt;0,C$80&gt;0),+C41/C$80,0)</f>
        <v>0</v>
      </c>
      <c r="H41" s="358"/>
      <c r="I41" s="193">
        <f>SUM(I37:I40)</f>
        <v>0</v>
      </c>
      <c r="J41" s="185">
        <f>IF(I41+C41=0,0,(IF(AND(I41=0,C41&gt;0),-1,(IF(AND(I41&gt;0,C41=0),1,+I41/C41-1)))))</f>
        <v>0</v>
      </c>
      <c r="K41" s="396" t="e">
        <f>IF(AND(I41&gt;0,I$80&gt;0),+I41/I$80,0)</f>
        <v>#DIV/0!</v>
      </c>
      <c r="L41" s="358"/>
      <c r="M41" s="860"/>
      <c r="N41" s="860"/>
      <c r="O41" s="861"/>
      <c r="P41" s="478"/>
    </row>
    <row r="42" spans="1:16" s="88" customFormat="1" ht="12.75">
      <c r="A42" s="472"/>
      <c r="B42" s="781" t="s">
        <v>235</v>
      </c>
      <c r="C42" s="781"/>
      <c r="D42" s="781"/>
      <c r="E42" s="781"/>
      <c r="F42" s="781"/>
      <c r="G42" s="867"/>
      <c r="H42" s="358"/>
      <c r="I42" s="397"/>
      <c r="J42" s="398"/>
      <c r="K42" s="399"/>
      <c r="L42" s="358"/>
      <c r="M42" s="409"/>
      <c r="N42" s="409"/>
      <c r="O42" s="409"/>
      <c r="P42" s="478"/>
    </row>
    <row r="43" spans="1:16" s="88" customFormat="1" ht="12.75">
      <c r="A43" s="470"/>
      <c r="B43" s="109" t="s">
        <v>6</v>
      </c>
      <c r="C43" s="82"/>
      <c r="D43" s="122"/>
      <c r="E43" s="123">
        <f aca="true" t="shared" si="3" ref="E43:E52">+D43-C43</f>
        <v>0</v>
      </c>
      <c r="F43" s="124">
        <f aca="true" t="shared" si="4" ref="F43:F52">IF(+C43+D43=0,0,(IF(AND(+C43=0,D43&gt;0),1,(IF(AND(+C43&gt;0,D43=0),-1,+C43/+D43-1)))))</f>
        <v>0</v>
      </c>
      <c r="G43" s="187"/>
      <c r="H43" s="358"/>
      <c r="I43" s="387">
        <f>+'Provider Total Budget by Serv'!D121</f>
        <v>0</v>
      </c>
      <c r="J43" s="187">
        <f aca="true" t="shared" si="5" ref="J43:J52">IF(I43+C43=0,0,(IF(AND(I43=0,C43&gt;0),-1,(IF(AND(I43&gt;0,C43=0),1,+I43/C43-1)))))</f>
        <v>0</v>
      </c>
      <c r="K43" s="251"/>
      <c r="L43" s="358"/>
      <c r="M43" s="859"/>
      <c r="N43" s="860"/>
      <c r="O43" s="861"/>
      <c r="P43" s="478"/>
    </row>
    <row r="44" spans="1:16" s="88" customFormat="1" ht="12.75">
      <c r="A44" s="471"/>
      <c r="B44" s="109" t="s">
        <v>7</v>
      </c>
      <c r="C44" s="83"/>
      <c r="D44" s="122"/>
      <c r="E44" s="123">
        <f t="shared" si="3"/>
        <v>0</v>
      </c>
      <c r="F44" s="124">
        <f t="shared" si="4"/>
        <v>0</v>
      </c>
      <c r="G44" s="187"/>
      <c r="H44" s="358"/>
      <c r="I44" s="191">
        <f>+'Provider Total Budget by Serv'!D126</f>
        <v>0</v>
      </c>
      <c r="J44" s="187">
        <f t="shared" si="5"/>
        <v>0</v>
      </c>
      <c r="K44" s="251"/>
      <c r="L44" s="358"/>
      <c r="M44" s="860"/>
      <c r="N44" s="860"/>
      <c r="O44" s="861"/>
      <c r="P44" s="478"/>
    </row>
    <row r="45" spans="1:16" s="88" customFormat="1" ht="12.75">
      <c r="A45" s="471"/>
      <c r="B45" s="109" t="s">
        <v>210</v>
      </c>
      <c r="C45" s="83"/>
      <c r="D45" s="122"/>
      <c r="E45" s="123">
        <f t="shared" si="3"/>
        <v>0</v>
      </c>
      <c r="F45" s="124">
        <f t="shared" si="4"/>
        <v>0</v>
      </c>
      <c r="G45" s="406"/>
      <c r="H45" s="358"/>
      <c r="I45" s="191">
        <f>+'Provider Total Budget by Serv'!D131</f>
        <v>0</v>
      </c>
      <c r="J45" s="187">
        <f t="shared" si="5"/>
        <v>0</v>
      </c>
      <c r="K45" s="251"/>
      <c r="L45" s="358"/>
      <c r="M45" s="860"/>
      <c r="N45" s="860"/>
      <c r="O45" s="861"/>
      <c r="P45" s="478"/>
    </row>
    <row r="46" spans="1:16" s="88" customFormat="1" ht="12.75">
      <c r="A46" s="471"/>
      <c r="B46" s="109" t="s">
        <v>39</v>
      </c>
      <c r="C46" s="83"/>
      <c r="D46" s="122"/>
      <c r="E46" s="123">
        <f t="shared" si="3"/>
        <v>0</v>
      </c>
      <c r="F46" s="124">
        <f t="shared" si="4"/>
        <v>0</v>
      </c>
      <c r="G46" s="187"/>
      <c r="H46" s="358"/>
      <c r="I46" s="191">
        <f>+'Provider Total Budget by Serv'!D136</f>
        <v>0</v>
      </c>
      <c r="J46" s="187">
        <f t="shared" si="5"/>
        <v>0</v>
      </c>
      <c r="K46" s="251"/>
      <c r="L46" s="358"/>
      <c r="M46" s="860"/>
      <c r="N46" s="860"/>
      <c r="O46" s="861"/>
      <c r="P46" s="478"/>
    </row>
    <row r="47" spans="1:16" s="88" customFormat="1" ht="12.75">
      <c r="A47" s="471"/>
      <c r="B47" s="109" t="s">
        <v>213</v>
      </c>
      <c r="C47" s="83"/>
      <c r="D47" s="122"/>
      <c r="E47" s="123">
        <f t="shared" si="3"/>
        <v>0</v>
      </c>
      <c r="F47" s="124">
        <f t="shared" si="4"/>
        <v>0</v>
      </c>
      <c r="G47" s="187"/>
      <c r="H47" s="358"/>
      <c r="I47" s="191">
        <f>+'Provider Total Budget by Serv'!D141</f>
        <v>0</v>
      </c>
      <c r="J47" s="187">
        <f t="shared" si="5"/>
        <v>0</v>
      </c>
      <c r="K47" s="251"/>
      <c r="L47" s="358"/>
      <c r="M47" s="860"/>
      <c r="N47" s="860"/>
      <c r="O47" s="861"/>
      <c r="P47" s="478"/>
    </row>
    <row r="48" spans="1:16" s="88" customFormat="1" ht="12.75">
      <c r="A48" s="471"/>
      <c r="B48" s="109" t="s">
        <v>8</v>
      </c>
      <c r="C48" s="83"/>
      <c r="D48" s="122"/>
      <c r="E48" s="123">
        <f t="shared" si="3"/>
        <v>0</v>
      </c>
      <c r="F48" s="124">
        <f t="shared" si="4"/>
        <v>0</v>
      </c>
      <c r="G48" s="406"/>
      <c r="H48" s="358"/>
      <c r="I48" s="191">
        <f>+'Provider Total Budget by Serv'!D146</f>
        <v>0</v>
      </c>
      <c r="J48" s="187">
        <f t="shared" si="5"/>
        <v>0</v>
      </c>
      <c r="K48" s="251"/>
      <c r="L48" s="358"/>
      <c r="M48" s="860"/>
      <c r="N48" s="860"/>
      <c r="O48" s="861"/>
      <c r="P48" s="478"/>
    </row>
    <row r="49" spans="1:16" s="88" customFormat="1" ht="12.75">
      <c r="A49" s="471"/>
      <c r="B49" s="109" t="s">
        <v>9</v>
      </c>
      <c r="C49" s="83"/>
      <c r="D49" s="122"/>
      <c r="E49" s="123">
        <f t="shared" si="3"/>
        <v>0</v>
      </c>
      <c r="F49" s="124">
        <f t="shared" si="4"/>
        <v>0</v>
      </c>
      <c r="G49" s="187"/>
      <c r="H49" s="358"/>
      <c r="I49" s="191">
        <f>+'Provider Total Budget by Serv'!D151</f>
        <v>0</v>
      </c>
      <c r="J49" s="187">
        <f t="shared" si="5"/>
        <v>0</v>
      </c>
      <c r="K49" s="251"/>
      <c r="L49" s="358"/>
      <c r="M49" s="860"/>
      <c r="N49" s="860"/>
      <c r="O49" s="861"/>
      <c r="P49" s="478"/>
    </row>
    <row r="50" spans="1:16" s="88" customFormat="1" ht="12.75">
      <c r="A50" s="471"/>
      <c r="B50" s="109" t="s">
        <v>214</v>
      </c>
      <c r="C50" s="83"/>
      <c r="D50" s="122"/>
      <c r="E50" s="123">
        <f t="shared" si="3"/>
        <v>0</v>
      </c>
      <c r="F50" s="124">
        <f t="shared" si="4"/>
        <v>0</v>
      </c>
      <c r="G50" s="187"/>
      <c r="H50" s="358"/>
      <c r="I50" s="191">
        <f>+'Provider Total Budget by Serv'!D156</f>
        <v>0</v>
      </c>
      <c r="J50" s="187">
        <f t="shared" si="5"/>
        <v>0</v>
      </c>
      <c r="K50" s="251"/>
      <c r="L50" s="358"/>
      <c r="M50" s="860"/>
      <c r="N50" s="860"/>
      <c r="O50" s="861"/>
      <c r="P50" s="478"/>
    </row>
    <row r="51" spans="1:16" s="88" customFormat="1" ht="12.75">
      <c r="A51" s="471"/>
      <c r="B51" s="110" t="s">
        <v>215</v>
      </c>
      <c r="C51" s="84"/>
      <c r="D51" s="390"/>
      <c r="E51" s="391">
        <f t="shared" si="3"/>
        <v>0</v>
      </c>
      <c r="F51" s="392">
        <f t="shared" si="4"/>
        <v>0</v>
      </c>
      <c r="G51" s="185"/>
      <c r="H51" s="358"/>
      <c r="I51" s="192">
        <f>+'Provider Total Budget by Serv'!D161</f>
        <v>0</v>
      </c>
      <c r="J51" s="185">
        <f t="shared" si="5"/>
        <v>0</v>
      </c>
      <c r="K51" s="252"/>
      <c r="L51" s="358"/>
      <c r="M51" s="860"/>
      <c r="N51" s="860"/>
      <c r="O51" s="861"/>
      <c r="P51" s="478"/>
    </row>
    <row r="52" spans="1:16" s="88" customFormat="1" ht="12.75">
      <c r="A52" s="471"/>
      <c r="B52" s="110" t="s">
        <v>1</v>
      </c>
      <c r="C52" s="90">
        <f>SUM(C43:C51)</f>
        <v>0</v>
      </c>
      <c r="D52" s="91">
        <f>SUM(D43:D51)</f>
        <v>0</v>
      </c>
      <c r="E52" s="123">
        <f t="shared" si="3"/>
        <v>0</v>
      </c>
      <c r="F52" s="394">
        <f t="shared" si="4"/>
        <v>0</v>
      </c>
      <c r="G52" s="185">
        <f>IF(AND(C52&gt;0,C$80&gt;0),+C52/C$80,0)</f>
        <v>0</v>
      </c>
      <c r="H52" s="358"/>
      <c r="I52" s="193">
        <f>SUM(I43:I51)</f>
        <v>0</v>
      </c>
      <c r="J52" s="185">
        <f t="shared" si="5"/>
        <v>0</v>
      </c>
      <c r="K52" s="396" t="e">
        <f>IF(AND(I52&gt;0,I$80&gt;0),+I52/I$80,0)</f>
        <v>#DIV/0!</v>
      </c>
      <c r="L52" s="358"/>
      <c r="M52" s="860"/>
      <c r="N52" s="860"/>
      <c r="O52" s="861"/>
      <c r="P52" s="478"/>
    </row>
    <row r="53" spans="1:16" s="88" customFormat="1" ht="12.75">
      <c r="A53" s="472"/>
      <c r="B53" s="781" t="s">
        <v>236</v>
      </c>
      <c r="C53" s="781"/>
      <c r="D53" s="781"/>
      <c r="E53" s="781"/>
      <c r="F53" s="781"/>
      <c r="G53" s="867"/>
      <c r="H53" s="358"/>
      <c r="I53" s="397"/>
      <c r="J53" s="398"/>
      <c r="K53" s="399"/>
      <c r="L53" s="358"/>
      <c r="M53" s="400"/>
      <c r="N53" s="400"/>
      <c r="O53" s="400"/>
      <c r="P53" s="478"/>
    </row>
    <row r="54" spans="1:16" s="88" customFormat="1" ht="12.75">
      <c r="A54" s="470"/>
      <c r="B54" s="109" t="s">
        <v>27</v>
      </c>
      <c r="C54" s="82"/>
      <c r="D54" s="122"/>
      <c r="E54" s="123">
        <f aca="true" t="shared" si="6" ref="E54:E62">+D54-C54</f>
        <v>0</v>
      </c>
      <c r="F54" s="124">
        <f aca="true" t="shared" si="7" ref="F54:F62">IF(+C54+D54=0,0,(IF(AND(+C54=0,D54&gt;0),1,(IF(AND(+C54&gt;0,D54=0),-1,+C54/+D54-1)))))</f>
        <v>0</v>
      </c>
      <c r="G54" s="410"/>
      <c r="H54" s="358"/>
      <c r="I54" s="191">
        <f>+'Provider Total Budget by Serv'!D168</f>
        <v>0</v>
      </c>
      <c r="J54" s="187">
        <f aca="true" t="shared" si="8" ref="J54:J62">IF(I54+C54=0,0,(IF(AND(I54=0,C54&gt;0),-1,(IF(AND(I54&gt;0,C54=0),1,+I54/C54-1)))))</f>
        <v>0</v>
      </c>
      <c r="K54" s="251"/>
      <c r="L54" s="358"/>
      <c r="M54" s="859"/>
      <c r="N54" s="860"/>
      <c r="O54" s="861"/>
      <c r="P54" s="478"/>
    </row>
    <row r="55" spans="1:16" s="88" customFormat="1" ht="12.75">
      <c r="A55" s="471"/>
      <c r="B55" s="109" t="s">
        <v>22</v>
      </c>
      <c r="C55" s="83"/>
      <c r="D55" s="122"/>
      <c r="E55" s="123">
        <f t="shared" si="6"/>
        <v>0</v>
      </c>
      <c r="F55" s="124">
        <f t="shared" si="7"/>
        <v>0</v>
      </c>
      <c r="G55" s="411"/>
      <c r="H55" s="358"/>
      <c r="I55" s="191">
        <f>+'Provider Total Budget by Serv'!D173</f>
        <v>0</v>
      </c>
      <c r="J55" s="187">
        <f t="shared" si="8"/>
        <v>0</v>
      </c>
      <c r="K55" s="251"/>
      <c r="L55" s="358"/>
      <c r="M55" s="860"/>
      <c r="N55" s="860"/>
      <c r="O55" s="861"/>
      <c r="P55" s="478"/>
    </row>
    <row r="56" spans="1:16" s="88" customFormat="1" ht="12.75">
      <c r="A56" s="471"/>
      <c r="B56" s="109" t="s">
        <v>23</v>
      </c>
      <c r="C56" s="83"/>
      <c r="D56" s="122"/>
      <c r="E56" s="123">
        <f t="shared" si="6"/>
        <v>0</v>
      </c>
      <c r="F56" s="124">
        <f t="shared" si="7"/>
        <v>0</v>
      </c>
      <c r="G56" s="411"/>
      <c r="H56" s="358"/>
      <c r="I56" s="191">
        <f>+'Provider Total Budget by Serv'!D178</f>
        <v>0</v>
      </c>
      <c r="J56" s="187">
        <f t="shared" si="8"/>
        <v>0</v>
      </c>
      <c r="K56" s="251"/>
      <c r="L56" s="358"/>
      <c r="M56" s="860"/>
      <c r="N56" s="860"/>
      <c r="O56" s="861"/>
      <c r="P56" s="478"/>
    </row>
    <row r="57" spans="1:16" s="88" customFormat="1" ht="12.75">
      <c r="A57" s="471"/>
      <c r="B57" s="109" t="s">
        <v>218</v>
      </c>
      <c r="C57" s="83"/>
      <c r="D57" s="122"/>
      <c r="E57" s="123">
        <f t="shared" si="6"/>
        <v>0</v>
      </c>
      <c r="F57" s="124">
        <f t="shared" si="7"/>
        <v>0</v>
      </c>
      <c r="G57" s="411"/>
      <c r="H57" s="358"/>
      <c r="I57" s="191">
        <f>+'Provider Total Budget by Serv'!D183</f>
        <v>0</v>
      </c>
      <c r="J57" s="187">
        <f t="shared" si="8"/>
        <v>0</v>
      </c>
      <c r="K57" s="251"/>
      <c r="L57" s="358"/>
      <c r="M57" s="860"/>
      <c r="N57" s="860"/>
      <c r="O57" s="861"/>
      <c r="P57" s="478"/>
    </row>
    <row r="58" spans="1:16" s="88" customFormat="1" ht="12.75">
      <c r="A58" s="471"/>
      <c r="B58" s="109" t="s">
        <v>213</v>
      </c>
      <c r="C58" s="83"/>
      <c r="D58" s="122"/>
      <c r="E58" s="123">
        <f t="shared" si="6"/>
        <v>0</v>
      </c>
      <c r="F58" s="124">
        <f t="shared" si="7"/>
        <v>0</v>
      </c>
      <c r="G58" s="411"/>
      <c r="H58" s="358"/>
      <c r="I58" s="191">
        <f>+'Provider Total Budget by Serv'!D188</f>
        <v>0</v>
      </c>
      <c r="J58" s="187">
        <f t="shared" si="8"/>
        <v>0</v>
      </c>
      <c r="K58" s="251"/>
      <c r="L58" s="358"/>
      <c r="M58" s="860"/>
      <c r="N58" s="860"/>
      <c r="O58" s="861"/>
      <c r="P58" s="478"/>
    </row>
    <row r="59" spans="1:16" s="88" customFormat="1" ht="12.75">
      <c r="A59" s="471"/>
      <c r="B59" s="109" t="s">
        <v>219</v>
      </c>
      <c r="C59" s="83"/>
      <c r="D59" s="122"/>
      <c r="E59" s="123">
        <f t="shared" si="6"/>
        <v>0</v>
      </c>
      <c r="F59" s="124">
        <f t="shared" si="7"/>
        <v>0</v>
      </c>
      <c r="G59" s="187"/>
      <c r="H59" s="358"/>
      <c r="I59" s="191">
        <f>+'Provider Total Budget by Serv'!D193</f>
        <v>0</v>
      </c>
      <c r="J59" s="187">
        <f t="shared" si="8"/>
        <v>0</v>
      </c>
      <c r="K59" s="251"/>
      <c r="L59" s="358"/>
      <c r="M59" s="860"/>
      <c r="N59" s="860"/>
      <c r="O59" s="861"/>
      <c r="P59" s="478"/>
    </row>
    <row r="60" spans="1:16" s="88" customFormat="1" ht="12.75">
      <c r="A60" s="471"/>
      <c r="B60" s="109" t="s">
        <v>4</v>
      </c>
      <c r="C60" s="83"/>
      <c r="D60" s="122"/>
      <c r="E60" s="123">
        <f t="shared" si="6"/>
        <v>0</v>
      </c>
      <c r="F60" s="124">
        <f t="shared" si="7"/>
        <v>0</v>
      </c>
      <c r="G60" s="187"/>
      <c r="H60" s="358"/>
      <c r="I60" s="191">
        <f>+'Provider Total Budget by Serv'!D198</f>
        <v>0</v>
      </c>
      <c r="J60" s="187">
        <f t="shared" si="8"/>
        <v>0</v>
      </c>
      <c r="K60" s="251"/>
      <c r="L60" s="358"/>
      <c r="M60" s="860"/>
      <c r="N60" s="860"/>
      <c r="O60" s="861"/>
      <c r="P60" s="478"/>
    </row>
    <row r="61" spans="1:16" s="88" customFormat="1" ht="12.75">
      <c r="A61" s="471"/>
      <c r="B61" s="110" t="s">
        <v>29</v>
      </c>
      <c r="C61" s="84"/>
      <c r="D61" s="390"/>
      <c r="E61" s="391">
        <f t="shared" si="6"/>
        <v>0</v>
      </c>
      <c r="F61" s="392">
        <f t="shared" si="7"/>
        <v>0</v>
      </c>
      <c r="G61" s="185"/>
      <c r="H61" s="358"/>
      <c r="I61" s="192">
        <f>+'Provider Total Budget by Serv'!D203</f>
        <v>0</v>
      </c>
      <c r="J61" s="185">
        <f t="shared" si="8"/>
        <v>0</v>
      </c>
      <c r="K61" s="252"/>
      <c r="L61" s="358"/>
      <c r="M61" s="860"/>
      <c r="N61" s="860"/>
      <c r="O61" s="861"/>
      <c r="P61" s="478"/>
    </row>
    <row r="62" spans="1:16" s="88" customFormat="1" ht="12.75">
      <c r="A62" s="471"/>
      <c r="B62" s="110" t="s">
        <v>1</v>
      </c>
      <c r="C62" s="90">
        <f>SUM(C54:C61)</f>
        <v>0</v>
      </c>
      <c r="D62" s="91">
        <f>SUM(D54:D61)</f>
        <v>0</v>
      </c>
      <c r="E62" s="123">
        <f t="shared" si="6"/>
        <v>0</v>
      </c>
      <c r="F62" s="394">
        <f t="shared" si="7"/>
        <v>0</v>
      </c>
      <c r="G62" s="185">
        <f>IF(AND(C62&gt;0,C$80&gt;0),+C62/C$80,0)</f>
        <v>0</v>
      </c>
      <c r="H62" s="358"/>
      <c r="I62" s="193">
        <f>SUM(I54:I61)</f>
        <v>0</v>
      </c>
      <c r="J62" s="185">
        <f t="shared" si="8"/>
        <v>0</v>
      </c>
      <c r="K62" s="396" t="e">
        <f>IF(AND(I62&gt;0,I$80&gt;0),+I62/I$80,0)</f>
        <v>#DIV/0!</v>
      </c>
      <c r="L62" s="358"/>
      <c r="M62" s="860"/>
      <c r="N62" s="860"/>
      <c r="O62" s="861"/>
      <c r="P62" s="478"/>
    </row>
    <row r="63" spans="1:16" s="88" customFormat="1" ht="12.75">
      <c r="A63" s="472"/>
      <c r="B63" s="781" t="s">
        <v>237</v>
      </c>
      <c r="C63" s="781"/>
      <c r="D63" s="781"/>
      <c r="E63" s="781"/>
      <c r="F63" s="781"/>
      <c r="G63" s="867"/>
      <c r="H63" s="358"/>
      <c r="I63" s="397"/>
      <c r="J63" s="398"/>
      <c r="K63" s="399"/>
      <c r="L63" s="358"/>
      <c r="M63" s="400"/>
      <c r="N63" s="400"/>
      <c r="O63" s="400"/>
      <c r="P63" s="478"/>
    </row>
    <row r="64" spans="1:16" s="88" customFormat="1" ht="12.75">
      <c r="A64" s="470"/>
      <c r="B64" s="109" t="s">
        <v>18</v>
      </c>
      <c r="C64" s="83"/>
      <c r="D64" s="122"/>
      <c r="E64" s="123">
        <f aca="true" t="shared" si="9" ref="E64:E78">+D64-C64</f>
        <v>0</v>
      </c>
      <c r="F64" s="124">
        <f aca="true" t="shared" si="10" ref="F64:F78">IF(+C64+D64=0,0,(IF(AND(+C64=0,D64&gt;0),1,(IF(AND(+C64&gt;0,D64=0),-1,+C64/+D64-1)))))</f>
        <v>0</v>
      </c>
      <c r="G64" s="411"/>
      <c r="H64" s="358"/>
      <c r="I64" s="191">
        <f>+'Provider Total Budget by Serv'!D210</f>
        <v>0</v>
      </c>
      <c r="J64" s="187">
        <f aca="true" t="shared" si="11" ref="J64:J78">IF(I64+C64=0,0,(IF(AND(I64=0,C64&gt;0),-1,(IF(AND(I64&gt;0,C64=0),1,+I64/C64-1)))))</f>
        <v>0</v>
      </c>
      <c r="K64" s="251"/>
      <c r="L64" s="358"/>
      <c r="M64" s="859"/>
      <c r="N64" s="860"/>
      <c r="O64" s="861"/>
      <c r="P64" s="478"/>
    </row>
    <row r="65" spans="1:16" s="88" customFormat="1" ht="12.75">
      <c r="A65" s="471"/>
      <c r="B65" s="109" t="s">
        <v>10</v>
      </c>
      <c r="C65" s="83"/>
      <c r="D65" s="122"/>
      <c r="E65" s="123">
        <f t="shared" si="9"/>
        <v>0</v>
      </c>
      <c r="F65" s="124">
        <f t="shared" si="10"/>
        <v>0</v>
      </c>
      <c r="G65" s="411"/>
      <c r="H65" s="358"/>
      <c r="I65" s="191">
        <f>+'Provider Total Budget by Serv'!D215</f>
        <v>0</v>
      </c>
      <c r="J65" s="187">
        <f t="shared" si="11"/>
        <v>0</v>
      </c>
      <c r="K65" s="251"/>
      <c r="L65" s="358"/>
      <c r="M65" s="860"/>
      <c r="N65" s="860"/>
      <c r="O65" s="861"/>
      <c r="P65" s="478"/>
    </row>
    <row r="66" spans="1:16" s="88" customFormat="1" ht="12.75">
      <c r="A66" s="471"/>
      <c r="B66" s="109" t="s">
        <v>11</v>
      </c>
      <c r="C66" s="83"/>
      <c r="D66" s="122"/>
      <c r="E66" s="123">
        <f t="shared" si="9"/>
        <v>0</v>
      </c>
      <c r="F66" s="124">
        <f t="shared" si="10"/>
        <v>0</v>
      </c>
      <c r="G66" s="411"/>
      <c r="H66" s="358"/>
      <c r="I66" s="191">
        <f>+'Provider Total Budget by Serv'!D220</f>
        <v>0</v>
      </c>
      <c r="J66" s="187">
        <f t="shared" si="11"/>
        <v>0</v>
      </c>
      <c r="K66" s="251"/>
      <c r="L66" s="358"/>
      <c r="M66" s="860"/>
      <c r="N66" s="860"/>
      <c r="O66" s="861"/>
      <c r="P66" s="478"/>
    </row>
    <row r="67" spans="1:16" s="88" customFormat="1" ht="12.75">
      <c r="A67" s="471"/>
      <c r="B67" s="109" t="s">
        <v>12</v>
      </c>
      <c r="C67" s="83"/>
      <c r="D67" s="122"/>
      <c r="E67" s="123">
        <f t="shared" si="9"/>
        <v>0</v>
      </c>
      <c r="F67" s="124">
        <f t="shared" si="10"/>
        <v>0</v>
      </c>
      <c r="G67" s="411"/>
      <c r="H67" s="358"/>
      <c r="I67" s="191">
        <f>+'Provider Total Budget by Serv'!D225</f>
        <v>0</v>
      </c>
      <c r="J67" s="187">
        <f t="shared" si="11"/>
        <v>0</v>
      </c>
      <c r="K67" s="251"/>
      <c r="L67" s="358"/>
      <c r="M67" s="860"/>
      <c r="N67" s="860"/>
      <c r="O67" s="861"/>
      <c r="P67" s="478"/>
    </row>
    <row r="68" spans="1:16" s="88" customFormat="1" ht="12.75">
      <c r="A68" s="471"/>
      <c r="B68" s="109" t="s">
        <v>19</v>
      </c>
      <c r="C68" s="83"/>
      <c r="D68" s="122"/>
      <c r="E68" s="123">
        <f t="shared" si="9"/>
        <v>0</v>
      </c>
      <c r="F68" s="124">
        <f t="shared" si="10"/>
        <v>0</v>
      </c>
      <c r="G68" s="187"/>
      <c r="H68" s="358"/>
      <c r="I68" s="191">
        <f>+'Provider Total Budget by Serv'!D230</f>
        <v>0</v>
      </c>
      <c r="J68" s="187">
        <f t="shared" si="11"/>
        <v>0</v>
      </c>
      <c r="K68" s="251"/>
      <c r="L68" s="358"/>
      <c r="M68" s="860"/>
      <c r="N68" s="860"/>
      <c r="O68" s="861"/>
      <c r="P68" s="478"/>
    </row>
    <row r="69" spans="1:16" s="88" customFormat="1" ht="12.75">
      <c r="A69" s="471"/>
      <c r="B69" s="109" t="s">
        <v>13</v>
      </c>
      <c r="C69" s="83"/>
      <c r="D69" s="122"/>
      <c r="E69" s="123">
        <f t="shared" si="9"/>
        <v>0</v>
      </c>
      <c r="F69" s="124">
        <f t="shared" si="10"/>
        <v>0</v>
      </c>
      <c r="G69" s="187"/>
      <c r="H69" s="358"/>
      <c r="I69" s="191">
        <f>+'Provider Total Budget by Serv'!D235</f>
        <v>0</v>
      </c>
      <c r="J69" s="187">
        <f t="shared" si="11"/>
        <v>0</v>
      </c>
      <c r="K69" s="251"/>
      <c r="L69" s="358"/>
      <c r="M69" s="860"/>
      <c r="N69" s="860"/>
      <c r="O69" s="861"/>
      <c r="P69" s="478"/>
    </row>
    <row r="70" spans="1:16" s="88" customFormat="1" ht="12.75">
      <c r="A70" s="471"/>
      <c r="B70" s="109" t="s">
        <v>14</v>
      </c>
      <c r="C70" s="83"/>
      <c r="D70" s="122"/>
      <c r="E70" s="123">
        <f t="shared" si="9"/>
        <v>0</v>
      </c>
      <c r="F70" s="124">
        <f t="shared" si="10"/>
        <v>0</v>
      </c>
      <c r="G70" s="411"/>
      <c r="H70" s="358"/>
      <c r="I70" s="191">
        <f>+'Provider Total Budget by Serv'!D240</f>
        <v>0</v>
      </c>
      <c r="J70" s="187">
        <f t="shared" si="11"/>
        <v>0</v>
      </c>
      <c r="K70" s="251"/>
      <c r="L70" s="358"/>
      <c r="M70" s="860"/>
      <c r="N70" s="860"/>
      <c r="O70" s="861"/>
      <c r="P70" s="478"/>
    </row>
    <row r="71" spans="1:16" s="88" customFormat="1" ht="12.75">
      <c r="A71" s="471"/>
      <c r="B71" s="109" t="s">
        <v>15</v>
      </c>
      <c r="C71" s="83"/>
      <c r="D71" s="122"/>
      <c r="E71" s="123">
        <f t="shared" si="9"/>
        <v>0</v>
      </c>
      <c r="F71" s="124">
        <f t="shared" si="10"/>
        <v>0</v>
      </c>
      <c r="G71" s="411"/>
      <c r="H71" s="358"/>
      <c r="I71" s="191">
        <f>+'Provider Total Budget by Serv'!D245</f>
        <v>0</v>
      </c>
      <c r="J71" s="187">
        <f t="shared" si="11"/>
        <v>0</v>
      </c>
      <c r="K71" s="251"/>
      <c r="L71" s="358"/>
      <c r="M71" s="860"/>
      <c r="N71" s="860"/>
      <c r="O71" s="861"/>
      <c r="P71" s="478"/>
    </row>
    <row r="72" spans="1:16" s="88" customFormat="1" ht="12.75">
      <c r="A72" s="471"/>
      <c r="B72" s="109" t="s">
        <v>16</v>
      </c>
      <c r="C72" s="83"/>
      <c r="D72" s="122"/>
      <c r="E72" s="123">
        <f t="shared" si="9"/>
        <v>0</v>
      </c>
      <c r="F72" s="124">
        <f t="shared" si="10"/>
        <v>0</v>
      </c>
      <c r="G72" s="411"/>
      <c r="H72" s="358"/>
      <c r="I72" s="191">
        <f>+'Provider Total Budget by Serv'!D250</f>
        <v>0</v>
      </c>
      <c r="J72" s="187">
        <f t="shared" si="11"/>
        <v>0</v>
      </c>
      <c r="K72" s="251"/>
      <c r="L72" s="358"/>
      <c r="M72" s="860"/>
      <c r="N72" s="860"/>
      <c r="O72" s="861"/>
      <c r="P72" s="478"/>
    </row>
    <row r="73" spans="1:16" s="88" customFormat="1" ht="12.75">
      <c r="A73" s="471"/>
      <c r="B73" s="109" t="s">
        <v>24</v>
      </c>
      <c r="C73" s="83"/>
      <c r="D73" s="122"/>
      <c r="E73" s="123">
        <f t="shared" si="9"/>
        <v>0</v>
      </c>
      <c r="F73" s="124">
        <f t="shared" si="10"/>
        <v>0</v>
      </c>
      <c r="G73" s="187"/>
      <c r="H73" s="358"/>
      <c r="I73" s="191">
        <f>+'Provider Total Budget by Serv'!D255</f>
        <v>0</v>
      </c>
      <c r="J73" s="187">
        <f t="shared" si="11"/>
        <v>0</v>
      </c>
      <c r="K73" s="251"/>
      <c r="L73" s="358"/>
      <c r="M73" s="860"/>
      <c r="N73" s="860"/>
      <c r="O73" s="861"/>
      <c r="P73" s="478"/>
    </row>
    <row r="74" spans="1:16" s="88" customFormat="1" ht="12.75">
      <c r="A74" s="471"/>
      <c r="B74" s="109" t="s">
        <v>25</v>
      </c>
      <c r="C74" s="83"/>
      <c r="D74" s="122"/>
      <c r="E74" s="123">
        <f t="shared" si="9"/>
        <v>0</v>
      </c>
      <c r="F74" s="124">
        <f t="shared" si="10"/>
        <v>0</v>
      </c>
      <c r="G74" s="187"/>
      <c r="H74" s="358"/>
      <c r="I74" s="191">
        <f>+'Provider Total Budget by Serv'!D260</f>
        <v>0</v>
      </c>
      <c r="J74" s="187">
        <f t="shared" si="11"/>
        <v>0</v>
      </c>
      <c r="K74" s="251"/>
      <c r="L74" s="358"/>
      <c r="M74" s="860"/>
      <c r="N74" s="860"/>
      <c r="O74" s="861"/>
      <c r="P74" s="478"/>
    </row>
    <row r="75" spans="1:16" s="88" customFormat="1" ht="12.75">
      <c r="A75" s="471"/>
      <c r="B75" s="109" t="s">
        <v>109</v>
      </c>
      <c r="C75" s="83"/>
      <c r="D75" s="122"/>
      <c r="E75" s="123">
        <f t="shared" si="9"/>
        <v>0</v>
      </c>
      <c r="F75" s="124">
        <f t="shared" si="10"/>
        <v>0</v>
      </c>
      <c r="G75" s="187"/>
      <c r="H75" s="358"/>
      <c r="I75" s="191">
        <f>+'Provider Total Budget by Serv'!D265</f>
        <v>0</v>
      </c>
      <c r="J75" s="187">
        <f t="shared" si="11"/>
        <v>0</v>
      </c>
      <c r="K75" s="251"/>
      <c r="L75" s="358"/>
      <c r="M75" s="860"/>
      <c r="N75" s="860"/>
      <c r="O75" s="861"/>
      <c r="P75" s="478"/>
    </row>
    <row r="76" spans="1:16" s="88" customFormat="1" ht="12.75">
      <c r="A76" s="471"/>
      <c r="B76" s="109" t="s">
        <v>17</v>
      </c>
      <c r="C76" s="83"/>
      <c r="D76" s="122"/>
      <c r="E76" s="123">
        <f t="shared" si="9"/>
        <v>0</v>
      </c>
      <c r="F76" s="124">
        <f t="shared" si="10"/>
        <v>0</v>
      </c>
      <c r="G76" s="187"/>
      <c r="H76" s="358"/>
      <c r="I76" s="191">
        <f>+'Provider Total Budget by Serv'!D270</f>
        <v>0</v>
      </c>
      <c r="J76" s="187">
        <f t="shared" si="11"/>
        <v>0</v>
      </c>
      <c r="K76" s="251"/>
      <c r="L76" s="358"/>
      <c r="M76" s="860"/>
      <c r="N76" s="860"/>
      <c r="O76" s="861"/>
      <c r="P76" s="478"/>
    </row>
    <row r="77" spans="1:16" s="88" customFormat="1" ht="12.75">
      <c r="A77" s="471"/>
      <c r="B77" s="110" t="s">
        <v>108</v>
      </c>
      <c r="C77" s="84"/>
      <c r="D77" s="390"/>
      <c r="E77" s="391">
        <f t="shared" si="9"/>
        <v>0</v>
      </c>
      <c r="F77" s="392">
        <f t="shared" si="10"/>
        <v>0</v>
      </c>
      <c r="G77" s="185"/>
      <c r="H77" s="358"/>
      <c r="I77" s="192">
        <f>+'Provider Total Budget by Serv'!D275</f>
        <v>0</v>
      </c>
      <c r="J77" s="185">
        <f t="shared" si="11"/>
        <v>0</v>
      </c>
      <c r="K77" s="252"/>
      <c r="L77" s="358"/>
      <c r="M77" s="860"/>
      <c r="N77" s="860"/>
      <c r="O77" s="861"/>
      <c r="P77" s="478"/>
    </row>
    <row r="78" spans="1:16" s="88" customFormat="1" ht="12.75">
      <c r="A78" s="471"/>
      <c r="B78" s="110" t="s">
        <v>1</v>
      </c>
      <c r="C78" s="90">
        <f>SUM(C64:C77)</f>
        <v>0</v>
      </c>
      <c r="D78" s="393">
        <f>SUM(D64:D77)</f>
        <v>0</v>
      </c>
      <c r="E78" s="391">
        <f t="shared" si="9"/>
        <v>0</v>
      </c>
      <c r="F78" s="394">
        <f t="shared" si="10"/>
        <v>0</v>
      </c>
      <c r="G78" s="185">
        <f>IF(AND(C78&gt;0,C$80&gt;0),+C78/C$80,0)</f>
        <v>0</v>
      </c>
      <c r="H78" s="358"/>
      <c r="I78" s="412">
        <f>SUM(I64:I77)</f>
        <v>0</v>
      </c>
      <c r="J78" s="185">
        <f t="shared" si="11"/>
        <v>0</v>
      </c>
      <c r="K78" s="396" t="e">
        <f>IF(AND(I78&gt;0,I$80&gt;0),+I78/I$80,0)</f>
        <v>#DIV/0!</v>
      </c>
      <c r="L78" s="358"/>
      <c r="M78" s="860"/>
      <c r="N78" s="860"/>
      <c r="O78" s="861"/>
      <c r="P78" s="478"/>
    </row>
    <row r="79" spans="1:16" s="88" customFormat="1" ht="12.75">
      <c r="A79" s="472"/>
      <c r="B79" s="797" t="s">
        <v>1</v>
      </c>
      <c r="C79" s="797"/>
      <c r="D79" s="797"/>
      <c r="E79" s="797"/>
      <c r="F79" s="797"/>
      <c r="G79" s="911"/>
      <c r="H79" s="358"/>
      <c r="I79" s="397"/>
      <c r="J79" s="413"/>
      <c r="K79" s="399"/>
      <c r="L79" s="358"/>
      <c r="M79" s="400"/>
      <c r="N79" s="400"/>
      <c r="O79" s="400"/>
      <c r="P79" s="478"/>
    </row>
    <row r="80" spans="1:16" s="88" customFormat="1" ht="12.75">
      <c r="A80" s="471"/>
      <c r="B80" s="111" t="s">
        <v>28</v>
      </c>
      <c r="C80" s="92">
        <f>+C16+C22+C27+C35+C41+C52+C62+C78</f>
        <v>0</v>
      </c>
      <c r="D80" s="92">
        <f>+D16+D22+D27+D35+D41+D52+D62+D78</f>
        <v>0</v>
      </c>
      <c r="E80" s="92">
        <f>+D80-C80</f>
        <v>0</v>
      </c>
      <c r="F80" s="181">
        <f>IF(+C80+D80=0,0,(IF(AND(+C80=0,D80&gt;0),1,(IF(AND(+C80&gt;0,D80=0),-1,+C80/+D80-1)))))</f>
        <v>0</v>
      </c>
      <c r="G80" s="414">
        <f>IF(AND(C80&gt;0,C$80&gt;0),+C80/C$80,0)</f>
        <v>0</v>
      </c>
      <c r="H80" s="358"/>
      <c r="I80" s="194" t="e">
        <f>+I16+I22+I27+I35+I41+I52+I62+I78</f>
        <v>#DIV/0!</v>
      </c>
      <c r="J80" s="95" t="e">
        <f>IF(I80+C80=0,0,(IF(AND(I80=0,C80&gt;0),-1,(IF(AND(I80&gt;0,C80=0),1,+I80/C80-1)))))</f>
        <v>#DIV/0!</v>
      </c>
      <c r="K80" s="395" t="e">
        <f>IF(AND(I80&gt;0,I$80&gt;0),+I80/I$80,0)</f>
        <v>#DIV/0!</v>
      </c>
      <c r="L80" s="358"/>
      <c r="M80" s="857"/>
      <c r="N80" s="857"/>
      <c r="O80" s="858"/>
      <c r="P80" s="478"/>
    </row>
    <row r="81" spans="1:16" s="88" customFormat="1" ht="12.75" customHeight="1">
      <c r="A81" s="471"/>
      <c r="B81" s="111" t="s">
        <v>221</v>
      </c>
      <c r="C81" s="199"/>
      <c r="D81" s="112"/>
      <c r="E81" s="184"/>
      <c r="F81" s="180"/>
      <c r="G81" s="256"/>
      <c r="H81" s="180"/>
      <c r="I81" s="415" t="s">
        <v>5</v>
      </c>
      <c r="J81" s="416"/>
      <c r="K81" s="417"/>
      <c r="L81" s="358"/>
      <c r="M81" s="129"/>
      <c r="N81" s="129"/>
      <c r="O81" s="129"/>
      <c r="P81" s="478"/>
    </row>
    <row r="82" spans="1:16" s="88" customFormat="1" ht="12.75" customHeight="1">
      <c r="A82" s="473"/>
      <c r="B82" s="111" t="s">
        <v>222</v>
      </c>
      <c r="C82" s="92">
        <f>IF(C81=0,0,+C80/C81)</f>
        <v>0</v>
      </c>
      <c r="D82" s="92">
        <f>IF(D81=0,0,+D80/D81)</f>
        <v>0</v>
      </c>
      <c r="E82" s="418"/>
      <c r="F82" s="419"/>
      <c r="G82" s="419"/>
      <c r="H82" s="419"/>
      <c r="I82" s="195"/>
      <c r="J82" s="182"/>
      <c r="K82" s="253"/>
      <c r="L82" s="126"/>
      <c r="M82" s="126"/>
      <c r="N82" s="126"/>
      <c r="O82" s="85"/>
      <c r="P82" s="478"/>
    </row>
    <row r="83" spans="1:16" s="88" customFormat="1" ht="12.75" customHeight="1">
      <c r="A83" s="472"/>
      <c r="B83" s="111" t="s">
        <v>239</v>
      </c>
      <c r="C83" s="420">
        <f>+D83</f>
        <v>0</v>
      </c>
      <c r="D83" s="421"/>
      <c r="E83" s="422"/>
      <c r="F83" s="243"/>
      <c r="G83" s="423"/>
      <c r="H83" s="243"/>
      <c r="I83" s="196"/>
      <c r="J83" s="183"/>
      <c r="K83" s="254"/>
      <c r="L83" s="85"/>
      <c r="M83" s="85"/>
      <c r="N83" s="85"/>
      <c r="O83" s="85"/>
      <c r="P83" s="478"/>
    </row>
    <row r="84" spans="1:16" s="88" customFormat="1" ht="12.75">
      <c r="A84" s="487"/>
      <c r="B84" s="111" t="s">
        <v>240</v>
      </c>
      <c r="C84" s="420">
        <f>+D84</f>
        <v>0</v>
      </c>
      <c r="D84" s="421"/>
      <c r="F84" s="424"/>
      <c r="G84" s="423"/>
      <c r="H84" s="243"/>
      <c r="I84" s="425"/>
      <c r="J84" s="426"/>
      <c r="K84" s="98"/>
      <c r="L84" s="129"/>
      <c r="M84" s="129"/>
      <c r="N84" s="129"/>
      <c r="O84" s="85"/>
      <c r="P84" s="478"/>
    </row>
    <row r="85" spans="1:16" s="88" customFormat="1" ht="12.75">
      <c r="A85" s="472"/>
      <c r="B85" s="305"/>
      <c r="C85" s="427"/>
      <c r="D85" s="428"/>
      <c r="F85" s="419"/>
      <c r="G85" s="429"/>
      <c r="H85" s="429"/>
      <c r="I85" s="196"/>
      <c r="J85" s="208"/>
      <c r="K85" s="254"/>
      <c r="L85" s="129"/>
      <c r="M85" s="129"/>
      <c r="N85" s="129"/>
      <c r="O85" s="85"/>
      <c r="P85" s="478"/>
    </row>
    <row r="86" spans="1:16" s="304" customFormat="1" ht="12.75">
      <c r="A86" s="488"/>
      <c r="B86" s="430"/>
      <c r="C86" s="94"/>
      <c r="D86" s="431"/>
      <c r="E86" s="432"/>
      <c r="F86" s="433"/>
      <c r="G86" s="257"/>
      <c r="H86" s="93"/>
      <c r="I86" s="434"/>
      <c r="K86" s="435"/>
      <c r="M86" s="93"/>
      <c r="N86" s="93"/>
      <c r="O86" s="102"/>
      <c r="P86" s="480"/>
    </row>
    <row r="87" spans="1:16" s="436" customFormat="1" ht="27" customHeight="1">
      <c r="A87" s="489"/>
      <c r="B87" s="919" t="s">
        <v>66</v>
      </c>
      <c r="C87" s="920"/>
      <c r="D87" s="920"/>
      <c r="E87" s="920"/>
      <c r="F87" s="437" t="s">
        <v>70</v>
      </c>
      <c r="G87" s="258"/>
      <c r="I87" s="438" t="s">
        <v>69</v>
      </c>
      <c r="J87" s="439" t="s">
        <v>68</v>
      </c>
      <c r="K87" s="440"/>
      <c r="N87" s="188"/>
      <c r="P87" s="481"/>
    </row>
    <row r="88" spans="1:17" s="88" customFormat="1" ht="12.75" customHeight="1">
      <c r="A88" s="478"/>
      <c r="B88" s="915" t="s">
        <v>430</v>
      </c>
      <c r="C88" s="918"/>
      <c r="D88" s="918"/>
      <c r="E88" s="918"/>
      <c r="F88" s="441"/>
      <c r="G88" s="259"/>
      <c r="I88" s="442">
        <f>IF(F89+F90+F91=0,'Unit Rate Calculation HDM'!F29,'Unit Rate Calculation HDM'!F34)</f>
        <v>0</v>
      </c>
      <c r="J88" s="443">
        <f>+F88*I88</f>
        <v>0</v>
      </c>
      <c r="K88" s="846" t="s">
        <v>71</v>
      </c>
      <c r="L88" s="847"/>
      <c r="M88" s="848"/>
      <c r="N88" s="130"/>
      <c r="O88" s="85"/>
      <c r="P88" s="482"/>
      <c r="Q88" s="85"/>
    </row>
    <row r="89" spans="1:17" s="88" customFormat="1" ht="12.75" customHeight="1">
      <c r="A89" s="478"/>
      <c r="B89" s="915" t="s">
        <v>425</v>
      </c>
      <c r="C89" s="866"/>
      <c r="D89" s="866"/>
      <c r="E89" s="866"/>
      <c r="F89" s="444"/>
      <c r="G89" s="259"/>
      <c r="I89" s="442">
        <f>+'Unit Rate Calculation HDM'!F34</f>
        <v>0</v>
      </c>
      <c r="J89" s="443">
        <f>+F89*I89</f>
        <v>0</v>
      </c>
      <c r="K89" s="846" t="s">
        <v>71</v>
      </c>
      <c r="L89" s="847"/>
      <c r="M89" s="848"/>
      <c r="N89" s="130"/>
      <c r="O89" s="85"/>
      <c r="P89" s="482"/>
      <c r="Q89" s="85"/>
    </row>
    <row r="90" spans="1:17" s="88" customFormat="1" ht="12.75" customHeight="1">
      <c r="A90" s="478"/>
      <c r="B90" s="913" t="s">
        <v>405</v>
      </c>
      <c r="C90" s="914"/>
      <c r="D90" s="914"/>
      <c r="E90" s="914"/>
      <c r="F90" s="746"/>
      <c r="G90" s="259"/>
      <c r="I90" s="442">
        <f>IF(F90&gt;0,+'Unit Rate Calculation HDM'!H34,0)</f>
        <v>0</v>
      </c>
      <c r="J90" s="443">
        <f>+F90*I90</f>
        <v>0</v>
      </c>
      <c r="K90" s="846" t="s">
        <v>71</v>
      </c>
      <c r="L90" s="847"/>
      <c r="M90" s="848"/>
      <c r="N90" s="130"/>
      <c r="O90" s="85"/>
      <c r="P90" s="482"/>
      <c r="Q90" s="85"/>
    </row>
    <row r="91" spans="1:17" s="88" customFormat="1" ht="12.75" customHeight="1" hidden="1">
      <c r="A91" s="478"/>
      <c r="B91" s="916" t="s">
        <v>330</v>
      </c>
      <c r="C91" s="917"/>
      <c r="D91" s="917"/>
      <c r="E91" s="910"/>
      <c r="F91" s="445"/>
      <c r="G91" s="259"/>
      <c r="I91" s="442"/>
      <c r="J91" s="443"/>
      <c r="K91" s="846" t="s">
        <v>71</v>
      </c>
      <c r="L91" s="847"/>
      <c r="M91" s="848"/>
      <c r="N91" s="130"/>
      <c r="O91" s="85"/>
      <c r="P91" s="482"/>
      <c r="Q91" s="85"/>
    </row>
    <row r="92" spans="1:17" s="88" customFormat="1" ht="12.75" customHeight="1">
      <c r="A92" s="478"/>
      <c r="B92" s="848" t="s">
        <v>38</v>
      </c>
      <c r="C92" s="866"/>
      <c r="D92" s="866"/>
      <c r="E92" s="866"/>
      <c r="F92" s="444"/>
      <c r="G92" s="259"/>
      <c r="I92" s="442">
        <f>+'Unit Rate Calculation HDM'!K18</f>
        <v>0</v>
      </c>
      <c r="J92" s="443">
        <f>+F92*I92</f>
        <v>0</v>
      </c>
      <c r="K92" s="846" t="s">
        <v>71</v>
      </c>
      <c r="L92" s="847"/>
      <c r="M92" s="848"/>
      <c r="N92" s="130"/>
      <c r="O92" s="85"/>
      <c r="P92" s="482"/>
      <c r="Q92" s="85"/>
    </row>
    <row r="93" spans="1:17" s="88" customFormat="1" ht="12.75" customHeight="1">
      <c r="A93" s="478"/>
      <c r="B93" s="915" t="s">
        <v>412</v>
      </c>
      <c r="C93" s="866"/>
      <c r="D93" s="866"/>
      <c r="E93" s="866"/>
      <c r="F93" s="444"/>
      <c r="G93" s="259"/>
      <c r="I93" s="442">
        <f>+'Unit Rate Calculation HDM'!K18</f>
        <v>0</v>
      </c>
      <c r="J93" s="443">
        <f>+F93*I93</f>
        <v>0</v>
      </c>
      <c r="K93" s="846" t="s">
        <v>71</v>
      </c>
      <c r="L93" s="847"/>
      <c r="M93" s="848"/>
      <c r="N93" s="130"/>
      <c r="O93" s="85"/>
      <c r="P93" s="482"/>
      <c r="Q93" s="85"/>
    </row>
    <row r="94" spans="1:17" s="88" customFormat="1" ht="12.75" customHeight="1">
      <c r="A94" s="478"/>
      <c r="B94" s="848" t="s">
        <v>107</v>
      </c>
      <c r="C94" s="866"/>
      <c r="D94" s="866"/>
      <c r="E94" s="866"/>
      <c r="F94" s="444"/>
      <c r="G94" s="259"/>
      <c r="I94" s="442">
        <f>+'Unit Rate Calculation HDM'!K18</f>
        <v>0</v>
      </c>
      <c r="J94" s="443">
        <f>+F94*I94</f>
        <v>0</v>
      </c>
      <c r="K94" s="846" t="s">
        <v>71</v>
      </c>
      <c r="L94" s="847"/>
      <c r="M94" s="848"/>
      <c r="N94" s="130"/>
      <c r="O94" s="85"/>
      <c r="P94" s="482"/>
      <c r="Q94" s="85"/>
    </row>
    <row r="95" spans="1:17" s="88" customFormat="1" ht="12.75" customHeight="1">
      <c r="A95" s="478"/>
      <c r="B95" s="848" t="s">
        <v>67</v>
      </c>
      <c r="C95" s="866"/>
      <c r="D95" s="866"/>
      <c r="E95" s="866"/>
      <c r="F95" s="757" t="s">
        <v>72</v>
      </c>
      <c r="G95" s="259"/>
      <c r="I95" s="442">
        <f>+'Unit Rate Calculation HDM'!F28</f>
        <v>0</v>
      </c>
      <c r="J95" s="443">
        <f>(+F88+F89)*I95</f>
        <v>0</v>
      </c>
      <c r="K95" s="864" t="s">
        <v>432</v>
      </c>
      <c r="L95" s="847"/>
      <c r="M95" s="848"/>
      <c r="N95" s="130"/>
      <c r="O95" s="85"/>
      <c r="P95" s="482"/>
      <c r="Q95" s="85"/>
    </row>
    <row r="96" spans="1:17" s="88" customFormat="1" ht="12.75" customHeight="1">
      <c r="A96" s="478"/>
      <c r="B96" s="915" t="s">
        <v>431</v>
      </c>
      <c r="C96" s="866"/>
      <c r="D96" s="866"/>
      <c r="E96" s="866"/>
      <c r="F96" s="446" t="s">
        <v>72</v>
      </c>
      <c r="G96" s="259"/>
      <c r="I96" s="442">
        <f>-'Unit Rate Calculation HDM'!F32</f>
        <v>0</v>
      </c>
      <c r="J96" s="443">
        <f>IF(F89=0,0,(+F88+F89)*I96)</f>
        <v>0</v>
      </c>
      <c r="K96" s="864" t="s">
        <v>432</v>
      </c>
      <c r="L96" s="847"/>
      <c r="M96" s="848"/>
      <c r="N96" s="130"/>
      <c r="O96" s="85"/>
      <c r="P96" s="482"/>
      <c r="Q96" s="85"/>
    </row>
    <row r="97" spans="1:17" s="88" customFormat="1" ht="12.75" customHeight="1">
      <c r="A97" s="478"/>
      <c r="B97" s="910" t="s">
        <v>332</v>
      </c>
      <c r="C97" s="866"/>
      <c r="D97" s="866"/>
      <c r="E97" s="866"/>
      <c r="F97" s="446" t="s">
        <v>72</v>
      </c>
      <c r="G97" s="259"/>
      <c r="I97" s="442">
        <f>-'Unit Rate Calculation HDM'!H32</f>
        <v>0</v>
      </c>
      <c r="J97" s="443">
        <f>+F90*I97</f>
        <v>0</v>
      </c>
      <c r="K97" s="865" t="s">
        <v>427</v>
      </c>
      <c r="L97" s="866"/>
      <c r="M97" s="866"/>
      <c r="N97" s="130"/>
      <c r="O97" s="85"/>
      <c r="P97" s="482"/>
      <c r="Q97" s="85"/>
    </row>
    <row r="98" spans="1:17" s="304" customFormat="1" ht="12.75" customHeight="1">
      <c r="A98" s="490"/>
      <c r="B98" s="911" t="s">
        <v>203</v>
      </c>
      <c r="C98" s="912"/>
      <c r="D98" s="912"/>
      <c r="E98" s="912"/>
      <c r="F98" s="448">
        <f>SUM(F88:F94)</f>
        <v>0</v>
      </c>
      <c r="G98" s="260"/>
      <c r="I98" s="449"/>
      <c r="J98" s="450">
        <f>SUM(J88:J97)</f>
        <v>0</v>
      </c>
      <c r="K98" s="796"/>
      <c r="L98" s="862"/>
      <c r="M98" s="863"/>
      <c r="N98" s="198"/>
      <c r="O98" s="107"/>
      <c r="P98" s="483"/>
      <c r="Q98" s="107"/>
    </row>
    <row r="99" spans="1:17" s="304" customFormat="1" ht="12.75" customHeight="1">
      <c r="A99" s="490"/>
      <c r="B99" s="911" t="s">
        <v>202</v>
      </c>
      <c r="C99" s="912"/>
      <c r="D99" s="912"/>
      <c r="E99" s="912"/>
      <c r="F99" s="451">
        <f>+'Provider Total Budget by Serv'!D294</f>
        <v>0</v>
      </c>
      <c r="G99" s="261"/>
      <c r="H99" s="452"/>
      <c r="I99" s="453"/>
      <c r="J99" s="452"/>
      <c r="K99" s="454"/>
      <c r="M99" s="189"/>
      <c r="N99" s="189"/>
      <c r="O99" s="452"/>
      <c r="P99" s="480"/>
      <c r="Q99" s="99"/>
    </row>
    <row r="100" spans="1:17" s="304" customFormat="1" ht="25.5" customHeight="1">
      <c r="A100" s="490"/>
      <c r="B100" s="911" t="s">
        <v>326</v>
      </c>
      <c r="C100" s="912"/>
      <c r="D100" s="912"/>
      <c r="E100" s="912"/>
      <c r="F100" s="455">
        <f>+F99-F98</f>
        <v>0</v>
      </c>
      <c r="G100" s="261"/>
      <c r="H100" s="452"/>
      <c r="I100" s="453"/>
      <c r="J100" s="456"/>
      <c r="K100" s="456"/>
      <c r="O100" s="452"/>
      <c r="P100" s="480"/>
      <c r="Q100" s="99"/>
    </row>
    <row r="101" spans="1:17" s="304" customFormat="1" ht="12.75" customHeight="1">
      <c r="A101" s="490"/>
      <c r="B101" s="447"/>
      <c r="C101" s="447"/>
      <c r="D101" s="447"/>
      <c r="F101" s="456"/>
      <c r="G101" s="261"/>
      <c r="H101" s="452"/>
      <c r="I101" s="453"/>
      <c r="J101" s="452"/>
      <c r="K101" s="456"/>
      <c r="O101" s="452"/>
      <c r="P101" s="480"/>
      <c r="Q101" s="99"/>
    </row>
    <row r="102" spans="1:16" s="304" customFormat="1" ht="12.75" customHeight="1">
      <c r="A102" s="491"/>
      <c r="B102" s="915" t="s">
        <v>225</v>
      </c>
      <c r="C102" s="909"/>
      <c r="D102" s="909"/>
      <c r="E102" s="909"/>
      <c r="F102" s="744"/>
      <c r="G102" s="262"/>
      <c r="H102" s="101"/>
      <c r="I102" s="197"/>
      <c r="J102" s="102"/>
      <c r="K102" s="712"/>
      <c r="L102" s="103"/>
      <c r="M102" s="103"/>
      <c r="N102" s="103"/>
      <c r="O102" s="102"/>
      <c r="P102" s="484"/>
    </row>
    <row r="103" spans="1:16" s="304" customFormat="1" ht="12.75" customHeight="1">
      <c r="A103" s="469"/>
      <c r="B103" s="908" t="s">
        <v>226</v>
      </c>
      <c r="C103" s="909"/>
      <c r="D103" s="909"/>
      <c r="E103" s="909"/>
      <c r="F103" s="745" t="e">
        <f>+'Provider Total Budget by Serv'!E278*'Provider Total Budget by Serv'!D303</f>
        <v>#DIV/0!</v>
      </c>
      <c r="G103" s="263"/>
      <c r="H103" s="102"/>
      <c r="I103" s="197"/>
      <c r="J103" s="102"/>
      <c r="K103" s="712"/>
      <c r="L103" s="104"/>
      <c r="M103" s="104"/>
      <c r="N103" s="104"/>
      <c r="O103" s="102"/>
      <c r="P103" s="484"/>
    </row>
    <row r="104" spans="1:16" s="304" customFormat="1" ht="12.75" customHeight="1">
      <c r="A104" s="492"/>
      <c r="B104" s="908" t="s">
        <v>118</v>
      </c>
      <c r="C104" s="909"/>
      <c r="D104" s="909"/>
      <c r="E104" s="909"/>
      <c r="F104" s="745">
        <f>IF(F102&gt;0,+F103/F102,0)</f>
        <v>0</v>
      </c>
      <c r="G104" s="263"/>
      <c r="H104" s="102"/>
      <c r="I104" s="197"/>
      <c r="J104" s="102"/>
      <c r="K104" s="255"/>
      <c r="L104" s="104"/>
      <c r="M104" s="104"/>
      <c r="N104" s="104"/>
      <c r="O104" s="102"/>
      <c r="P104" s="485"/>
    </row>
    <row r="105" spans="2:15" ht="12.75">
      <c r="B105" s="457"/>
      <c r="C105" s="320"/>
      <c r="D105" s="320"/>
      <c r="F105" s="458"/>
      <c r="L105" s="288"/>
      <c r="M105" s="288"/>
      <c r="N105" s="288"/>
      <c r="O105" s="288"/>
    </row>
    <row r="106" spans="6:15" ht="12.75">
      <c r="F106" s="288"/>
      <c r="G106" s="463"/>
      <c r="H106" s="288"/>
      <c r="L106" s="288"/>
      <c r="M106" s="288"/>
      <c r="N106" s="288"/>
      <c r="O106" s="288"/>
    </row>
    <row r="107" spans="4:15" ht="12.75">
      <c r="D107" s="736"/>
      <c r="E107" s="742"/>
      <c r="F107" s="743"/>
      <c r="G107" s="463"/>
      <c r="H107" s="288"/>
      <c r="L107" s="288"/>
      <c r="M107" s="288"/>
      <c r="N107" s="288"/>
      <c r="O107" s="288"/>
    </row>
    <row r="108" spans="5:15" ht="12.75">
      <c r="E108" s="742"/>
      <c r="F108" s="288"/>
      <c r="G108" s="463"/>
      <c r="H108" s="288"/>
      <c r="L108" s="288"/>
      <c r="M108" s="461"/>
      <c r="N108" s="288"/>
      <c r="O108" s="288"/>
    </row>
    <row r="109" spans="5:15" ht="12.75">
      <c r="E109" s="742"/>
      <c r="F109" s="288"/>
      <c r="G109" s="463"/>
      <c r="H109" s="288"/>
      <c r="L109" s="288"/>
      <c r="M109" s="288"/>
      <c r="N109" s="288"/>
      <c r="O109" s="288"/>
    </row>
    <row r="110" spans="6:15" ht="12.75">
      <c r="F110" s="288"/>
      <c r="G110" s="463"/>
      <c r="H110" s="288"/>
      <c r="L110" s="288"/>
      <c r="M110" s="288"/>
      <c r="N110" s="288"/>
      <c r="O110" s="288"/>
    </row>
    <row r="111" spans="6:15" ht="12.75">
      <c r="F111" s="288"/>
      <c r="G111" s="463"/>
      <c r="H111" s="288"/>
      <c r="L111" s="288"/>
      <c r="M111" s="288"/>
      <c r="N111" s="288"/>
      <c r="O111" s="288"/>
    </row>
    <row r="112" spans="6:15" ht="12.75">
      <c r="F112" s="288"/>
      <c r="G112" s="463"/>
      <c r="H112" s="288"/>
      <c r="L112" s="288"/>
      <c r="M112" s="288"/>
      <c r="N112" s="288"/>
      <c r="O112" s="288"/>
    </row>
    <row r="113" spans="6:15" ht="12.75">
      <c r="F113" s="288"/>
      <c r="G113" s="463"/>
      <c r="H113" s="288"/>
      <c r="L113" s="288"/>
      <c r="M113" s="288"/>
      <c r="N113" s="288"/>
      <c r="O113" s="288"/>
    </row>
    <row r="114" spans="6:15" ht="12.75">
      <c r="F114" s="288"/>
      <c r="G114" s="463"/>
      <c r="H114" s="288"/>
      <c r="L114" s="288"/>
      <c r="M114" s="288"/>
      <c r="N114" s="288"/>
      <c r="O114" s="288"/>
    </row>
    <row r="115" spans="6:15" ht="12.75">
      <c r="F115" s="288"/>
      <c r="G115" s="463"/>
      <c r="H115" s="288"/>
      <c r="L115" s="288"/>
      <c r="M115" s="288"/>
      <c r="N115" s="288"/>
      <c r="O115" s="288"/>
    </row>
    <row r="116" spans="6:15" ht="12.75">
      <c r="F116" s="288"/>
      <c r="G116" s="463"/>
      <c r="H116" s="288"/>
      <c r="L116" s="288"/>
      <c r="M116" s="288"/>
      <c r="N116" s="288"/>
      <c r="O116" s="288"/>
    </row>
    <row r="117" spans="6:15" ht="12.75">
      <c r="F117" s="288"/>
      <c r="G117" s="463"/>
      <c r="H117" s="288"/>
      <c r="L117" s="288"/>
      <c r="M117" s="288"/>
      <c r="N117" s="288"/>
      <c r="O117" s="288"/>
    </row>
    <row r="118" spans="6:15" ht="12.75">
      <c r="F118" s="288"/>
      <c r="G118" s="463"/>
      <c r="H118" s="288"/>
      <c r="L118" s="288"/>
      <c r="M118" s="288"/>
      <c r="N118" s="288"/>
      <c r="O118" s="288"/>
    </row>
    <row r="119" spans="6:15" ht="12.75">
      <c r="F119" s="288"/>
      <c r="G119" s="463"/>
      <c r="H119" s="288"/>
      <c r="L119" s="288"/>
      <c r="M119" s="288"/>
      <c r="N119" s="288"/>
      <c r="O119" s="288"/>
    </row>
    <row r="120" spans="6:15" ht="12.75">
      <c r="F120" s="288"/>
      <c r="G120" s="463"/>
      <c r="H120" s="288"/>
      <c r="L120" s="288"/>
      <c r="M120" s="288"/>
      <c r="N120" s="288"/>
      <c r="O120" s="288"/>
    </row>
    <row r="121" spans="6:15" ht="12.75">
      <c r="F121" s="288"/>
      <c r="G121" s="463"/>
      <c r="H121" s="288"/>
      <c r="L121" s="288"/>
      <c r="M121" s="288"/>
      <c r="N121" s="288"/>
      <c r="O121" s="288"/>
    </row>
    <row r="122" spans="6:15" ht="12.75">
      <c r="F122" s="288"/>
      <c r="G122" s="463"/>
      <c r="H122" s="288"/>
      <c r="L122" s="288"/>
      <c r="M122" s="288"/>
      <c r="N122" s="288"/>
      <c r="O122" s="288"/>
    </row>
    <row r="123" spans="6:15" ht="12.75">
      <c r="F123" s="288"/>
      <c r="G123" s="463"/>
      <c r="H123" s="288"/>
      <c r="L123" s="288"/>
      <c r="M123" s="288"/>
      <c r="N123" s="288"/>
      <c r="O123" s="288"/>
    </row>
    <row r="124" spans="6:15" ht="12.75">
      <c r="F124" s="288"/>
      <c r="G124" s="463"/>
      <c r="H124" s="288"/>
      <c r="L124" s="288"/>
      <c r="M124" s="288"/>
      <c r="N124" s="288"/>
      <c r="O124" s="288"/>
    </row>
  </sheetData>
  <sheetProtection formatCells="0" formatColumns="0" formatRows="0"/>
  <mergeCells count="74">
    <mergeCell ref="B87:E87"/>
    <mergeCell ref="B36:G36"/>
    <mergeCell ref="B42:G42"/>
    <mergeCell ref="B53:G53"/>
    <mergeCell ref="B63:G63"/>
    <mergeCell ref="B79:G79"/>
    <mergeCell ref="M18:O22"/>
    <mergeCell ref="B91:E91"/>
    <mergeCell ref="B99:E99"/>
    <mergeCell ref="B100:E100"/>
    <mergeCell ref="B102:E102"/>
    <mergeCell ref="B92:E92"/>
    <mergeCell ref="B89:E89"/>
    <mergeCell ref="B28:G28"/>
    <mergeCell ref="M24:O27"/>
    <mergeCell ref="B88:E88"/>
    <mergeCell ref="C4:G4"/>
    <mergeCell ref="B104:E104"/>
    <mergeCell ref="B97:E97"/>
    <mergeCell ref="B98:E98"/>
    <mergeCell ref="B90:E90"/>
    <mergeCell ref="B95:E95"/>
    <mergeCell ref="B96:E96"/>
    <mergeCell ref="B93:E93"/>
    <mergeCell ref="B103:E103"/>
    <mergeCell ref="B94:E94"/>
    <mergeCell ref="M14:O16"/>
    <mergeCell ref="I2:O4"/>
    <mergeCell ref="M6:O7"/>
    <mergeCell ref="G9:G12"/>
    <mergeCell ref="C9:C12"/>
    <mergeCell ref="D9:D12"/>
    <mergeCell ref="E9:E12"/>
    <mergeCell ref="F9:F12"/>
    <mergeCell ref="C2:G2"/>
    <mergeCell ref="C3:G3"/>
    <mergeCell ref="I5:K5"/>
    <mergeCell ref="I6:K7"/>
    <mergeCell ref="M9:N9"/>
    <mergeCell ref="M10:N10"/>
    <mergeCell ref="M11:N11"/>
    <mergeCell ref="B9:B12"/>
    <mergeCell ref="B23:G23"/>
    <mergeCell ref="K9:K12"/>
    <mergeCell ref="M5:O5"/>
    <mergeCell ref="M8:O8"/>
    <mergeCell ref="M12:O12"/>
    <mergeCell ref="B13:G13"/>
    <mergeCell ref="B17:G17"/>
    <mergeCell ref="C5:G5"/>
    <mergeCell ref="D6:G7"/>
    <mergeCell ref="C8:G8"/>
    <mergeCell ref="K98:M98"/>
    <mergeCell ref="K96:M96"/>
    <mergeCell ref="K95:M95"/>
    <mergeCell ref="K94:M94"/>
    <mergeCell ref="K93:M93"/>
    <mergeCell ref="K97:M97"/>
    <mergeCell ref="M80:O80"/>
    <mergeCell ref="M29:O35"/>
    <mergeCell ref="M37:O41"/>
    <mergeCell ref="M43:O52"/>
    <mergeCell ref="M54:O62"/>
    <mergeCell ref="M64:O78"/>
    <mergeCell ref="B1:O1"/>
    <mergeCell ref="K92:M92"/>
    <mergeCell ref="K91:M91"/>
    <mergeCell ref="K90:M90"/>
    <mergeCell ref="K89:M89"/>
    <mergeCell ref="K88:M88"/>
    <mergeCell ref="I9:I12"/>
    <mergeCell ref="J9:J12"/>
    <mergeCell ref="B6:B7"/>
    <mergeCell ref="C6:C7"/>
  </mergeCells>
  <conditionalFormatting sqref="K41">
    <cfRule type="cellIs" priority="6" dxfId="0" operator="greaterThan" stopIfTrue="1">
      <formula>0.05</formula>
    </cfRule>
  </conditionalFormatting>
  <conditionalFormatting sqref="K16">
    <cfRule type="cellIs" priority="4" dxfId="0" operator="greaterThan" stopIfTrue="1">
      <formula>0.5</formula>
    </cfRule>
  </conditionalFormatting>
  <conditionalFormatting sqref="K27">
    <cfRule type="cellIs" priority="3" dxfId="0" operator="greaterThan" stopIfTrue="1">
      <formula>0.03</formula>
    </cfRule>
  </conditionalFormatting>
  <conditionalFormatting sqref="K78">
    <cfRule type="cellIs" priority="2" dxfId="0" operator="greaterThan" stopIfTrue="1">
      <formula>0.15</formula>
    </cfRule>
  </conditionalFormatting>
  <conditionalFormatting sqref="K35">
    <cfRule type="cellIs" priority="1" dxfId="0" operator="between" stopIfTrue="1">
      <formula>0%</formula>
      <formula>30%</formula>
    </cfRule>
  </conditionalFormatting>
  <dataValidations count="6">
    <dataValidation type="whole" allowBlank="1" showInputMessage="1" showErrorMessage="1" sqref="F88:F94">
      <formula1>0</formula1>
      <formula2>15000000</formula2>
    </dataValidation>
    <dataValidation type="decimal" allowBlank="1" showInputMessage="1" showErrorMessage="1" sqref="C80:D84">
      <formula1>0</formula1>
      <formula2>9999999999.99</formula2>
    </dataValidation>
    <dataValidation type="whole" allowBlank="1" showInputMessage="1" showErrorMessage="1" sqref="F102">
      <formula1>0</formula1>
      <formula2>9999999999999</formula2>
    </dataValidation>
    <dataValidation allowBlank="1" showInputMessage="1" showErrorMessage="1" promptTitle="Review Alert" prompt="If the percentage of the meal cost applied to the cost area is outside of the expected range for the cost area, the cell will be highlighted in red. Additional review should be conducted to verify cost area budget is accurate." sqref="K78 K16 K27 K35"/>
    <dataValidation type="decimal" allowBlank="1" showInputMessage="1" showErrorMessage="1" sqref="J15 K14:K15 C14:D15 D18:D21 C18:C19 I14:I15 I18:K19">
      <formula1>0</formula1>
      <formula2>150000000</formula2>
    </dataValidation>
    <dataValidation type="decimal" allowBlank="1" showInputMessage="1" showErrorMessage="1" sqref="K54:K61 C64:D77 C37:D40 C43:D51 C54:D61 C24:D26 C20:C21 C29:D34 K43:K51 K37:K40 K29:K34 K24:K26 K20:K21 I20:I21 I24:I26 I29:I34 I37:I40 I43:I51 I54:I61 I64:I77 K64:K77">
      <formula1>0</formula1>
      <formula2>15000000</formula2>
    </dataValidation>
  </dataValidations>
  <printOptions/>
  <pageMargins left="0.45" right="0.45" top="0.5" bottom="0.5" header="0.3" footer="0.3"/>
  <pageSetup fitToHeight="0" horizontalDpi="600" verticalDpi="600" orientation="landscape" paperSize="5" scale="54" r:id="rId1"/>
  <rowBreaks count="3" manualBreakCount="3">
    <brk id="52" max="15" man="1"/>
    <brk id="85" max="15" man="1"/>
    <brk id="395" max="255" man="1"/>
  </rowBreaks>
  <colBreaks count="1" manualBreakCount="1">
    <brk id="17" max="65535" man="1"/>
  </colBreaks>
</worksheet>
</file>

<file path=xl/worksheets/sheet6.xml><?xml version="1.0" encoding="utf-8"?>
<worksheet xmlns="http://schemas.openxmlformats.org/spreadsheetml/2006/main" xmlns:r="http://schemas.openxmlformats.org/officeDocument/2006/relationships">
  <sheetPr codeName="Sheet1">
    <tabColor rgb="FF7030A0"/>
    <pageSetUpPr fitToPage="1"/>
  </sheetPr>
  <dimension ref="A1:W49"/>
  <sheetViews>
    <sheetView showGridLines="0" zoomScale="55" zoomScaleNormal="55" zoomScalePageLayoutView="0" workbookViewId="0" topLeftCell="A1">
      <selection activeCell="E16" sqref="E16"/>
    </sheetView>
  </sheetViews>
  <sheetFormatPr defaultColWidth="9.140625" defaultRowHeight="12.75"/>
  <cols>
    <col min="1" max="1" width="6.28125" style="0" customWidth="1"/>
    <col min="3" max="3" width="17.421875" style="0" customWidth="1"/>
    <col min="4" max="4" width="4.57421875" style="0" customWidth="1"/>
    <col min="5" max="5" width="19.421875" style="0" customWidth="1"/>
    <col min="6" max="6" width="6.00390625" style="0" customWidth="1"/>
    <col min="7" max="7" width="5.8515625" style="0" customWidth="1"/>
    <col min="8" max="8" width="13.421875" style="0" customWidth="1"/>
    <col min="13" max="13" width="11.8515625" style="0" customWidth="1"/>
  </cols>
  <sheetData>
    <row r="1" spans="1:11" ht="12.75">
      <c r="A1" s="2"/>
      <c r="B1" s="2"/>
      <c r="C1" s="683">
        <f ca="1">NOW()</f>
        <v>44650.39911342593</v>
      </c>
      <c r="D1" s="2"/>
      <c r="E1" s="2"/>
      <c r="F1" s="2"/>
      <c r="G1" s="2"/>
      <c r="H1" s="2"/>
      <c r="I1" s="2"/>
      <c r="J1" s="2"/>
      <c r="K1" s="2"/>
    </row>
    <row r="2" spans="2:9" s="2" customFormat="1" ht="15">
      <c r="B2" s="647"/>
      <c r="C2" s="367" t="s">
        <v>26</v>
      </c>
      <c r="D2" s="816">
        <f>+'Provider Information'!F6</f>
        <v>0</v>
      </c>
      <c r="E2" s="817"/>
      <c r="F2" s="817"/>
      <c r="G2" s="817"/>
      <c r="H2" s="817"/>
      <c r="I2" s="13"/>
    </row>
    <row r="3" spans="2:9" s="2" customFormat="1" ht="15">
      <c r="B3" s="642"/>
      <c r="C3" s="644" t="s">
        <v>389</v>
      </c>
      <c r="D3" s="816" t="str">
        <f>+'Provider Information'!D21</f>
        <v>Area Agency on Aging of Deep East Texas</v>
      </c>
      <c r="E3" s="816"/>
      <c r="F3" s="816"/>
      <c r="G3" s="816"/>
      <c r="H3" s="816"/>
      <c r="I3" s="816"/>
    </row>
    <row r="4" spans="2:9" s="2" customFormat="1" ht="15">
      <c r="B4" s="642"/>
      <c r="C4" s="722" t="s">
        <v>390</v>
      </c>
      <c r="D4" s="815" t="str">
        <f>+'Provider Information'!E26</f>
        <v>Region 5</v>
      </c>
      <c r="E4" s="815"/>
      <c r="F4" s="815"/>
      <c r="G4" s="815"/>
      <c r="H4" s="815"/>
      <c r="I4" s="680"/>
    </row>
    <row r="5" spans="1:11" ht="28.5" customHeight="1">
      <c r="A5" s="2"/>
      <c r="B5" s="924" t="s">
        <v>247</v>
      </c>
      <c r="C5" s="924"/>
      <c r="D5" s="924"/>
      <c r="E5" s="924"/>
      <c r="F5" s="924"/>
      <c r="G5" s="924"/>
      <c r="H5" s="924"/>
      <c r="I5" s="924"/>
      <c r="J5" s="924"/>
      <c r="K5" s="924"/>
    </row>
    <row r="6" spans="1:23" ht="18.75" customHeight="1">
      <c r="A6" s="2"/>
      <c r="B6" s="932" t="s">
        <v>79</v>
      </c>
      <c r="C6" s="932"/>
      <c r="D6" s="932"/>
      <c r="E6" s="932"/>
      <c r="F6" s="932"/>
      <c r="G6" s="932"/>
      <c r="H6" s="932"/>
      <c r="I6" s="932"/>
      <c r="J6" s="932"/>
      <c r="K6" s="932"/>
      <c r="L6" s="1"/>
      <c r="M6" s="1"/>
      <c r="N6" s="1"/>
      <c r="O6" s="1"/>
      <c r="P6" s="1"/>
      <c r="Q6" s="1"/>
      <c r="R6" s="1"/>
      <c r="S6" s="1"/>
      <c r="T6" s="1"/>
      <c r="U6" s="1"/>
      <c r="V6" s="1"/>
      <c r="W6" s="1"/>
    </row>
    <row r="7" spans="1:23" ht="18.75">
      <c r="A7" s="2"/>
      <c r="B7" s="929"/>
      <c r="C7" s="929"/>
      <c r="D7" s="929"/>
      <c r="E7" s="929"/>
      <c r="F7" s="730"/>
      <c r="G7" s="930"/>
      <c r="H7" s="931"/>
      <c r="I7" s="931"/>
      <c r="J7" s="931"/>
      <c r="K7" s="931"/>
      <c r="L7" s="1"/>
      <c r="M7" s="1"/>
      <c r="N7" s="1"/>
      <c r="O7" s="1"/>
      <c r="P7" s="1"/>
      <c r="Q7" s="1"/>
      <c r="R7" s="1"/>
      <c r="S7" s="1"/>
      <c r="T7" s="1"/>
      <c r="U7" s="1"/>
      <c r="V7" s="1"/>
      <c r="W7" s="1"/>
    </row>
    <row r="8" spans="1:23" ht="24" customHeight="1">
      <c r="A8" s="2"/>
      <c r="B8" s="55" t="s">
        <v>80</v>
      </c>
      <c r="C8" s="56"/>
      <c r="D8" s="56"/>
      <c r="E8" s="56"/>
      <c r="F8" s="56"/>
      <c r="G8" s="56"/>
      <c r="H8" s="56"/>
      <c r="I8" s="57"/>
      <c r="J8" s="58"/>
      <c r="K8" s="59"/>
      <c r="L8" s="1"/>
      <c r="M8" s="1"/>
      <c r="N8" s="1"/>
      <c r="O8" s="1"/>
      <c r="P8" s="1"/>
      <c r="Q8" s="1"/>
      <c r="R8" s="1"/>
      <c r="S8" s="1"/>
      <c r="T8" s="1"/>
      <c r="U8" s="1"/>
      <c r="V8" s="1"/>
      <c r="W8" s="1"/>
    </row>
    <row r="9" spans="1:23" ht="15.75">
      <c r="A9" s="2"/>
      <c r="B9" s="60"/>
      <c r="C9" s="8"/>
      <c r="D9" s="8"/>
      <c r="E9" s="8"/>
      <c r="F9" s="8"/>
      <c r="G9" s="8"/>
      <c r="H9" s="8"/>
      <c r="I9" s="8"/>
      <c r="J9" s="8"/>
      <c r="K9" s="61"/>
      <c r="L9" s="1"/>
      <c r="M9" s="1"/>
      <c r="N9" s="1"/>
      <c r="O9" s="1"/>
      <c r="P9" s="1"/>
      <c r="Q9" s="1"/>
      <c r="R9" s="1"/>
      <c r="S9" s="1"/>
      <c r="T9" s="1"/>
      <c r="U9" s="1"/>
      <c r="V9" s="1"/>
      <c r="W9" s="1"/>
    </row>
    <row r="10" spans="1:23" ht="22.5" customHeight="1">
      <c r="A10" s="2"/>
      <c r="B10" s="62" t="s">
        <v>81</v>
      </c>
      <c r="C10" s="63" t="s">
        <v>82</v>
      </c>
      <c r="D10" s="8"/>
      <c r="E10" s="8"/>
      <c r="F10" s="8"/>
      <c r="G10" s="8"/>
      <c r="H10" s="8"/>
      <c r="I10" s="8"/>
      <c r="J10" s="8"/>
      <c r="K10" s="61"/>
      <c r="L10" s="1"/>
      <c r="M10" s="1"/>
      <c r="N10" s="1"/>
      <c r="O10" s="1"/>
      <c r="P10" s="1"/>
      <c r="Q10" s="1"/>
      <c r="R10" s="1"/>
      <c r="S10" s="1"/>
      <c r="T10" s="1"/>
      <c r="U10" s="1"/>
      <c r="V10" s="1"/>
      <c r="W10" s="1"/>
    </row>
    <row r="11" spans="1:23" ht="16.5">
      <c r="A11" s="2"/>
      <c r="B11" s="62"/>
      <c r="C11" s="63"/>
      <c r="D11" s="8"/>
      <c r="E11" s="8"/>
      <c r="F11" s="8"/>
      <c r="G11" s="8"/>
      <c r="H11" s="8"/>
      <c r="I11" s="8"/>
      <c r="J11" s="8"/>
      <c r="K11" s="61"/>
      <c r="L11" s="1"/>
      <c r="M11" s="1"/>
      <c r="N11" s="1"/>
      <c r="O11" s="1"/>
      <c r="P11" s="1"/>
      <c r="Q11" s="1"/>
      <c r="R11" s="1"/>
      <c r="S11" s="1"/>
      <c r="T11" s="1"/>
      <c r="U11" s="1"/>
      <c r="V11" s="1"/>
      <c r="W11" s="1"/>
    </row>
    <row r="12" spans="1:23" ht="16.5">
      <c r="A12" s="2"/>
      <c r="B12" s="62" t="s">
        <v>81</v>
      </c>
      <c r="C12" s="63" t="s">
        <v>83</v>
      </c>
      <c r="D12" s="8"/>
      <c r="E12" s="8"/>
      <c r="F12" s="8"/>
      <c r="G12" s="8"/>
      <c r="H12" s="8"/>
      <c r="I12" s="8"/>
      <c r="J12" s="8"/>
      <c r="K12" s="61"/>
      <c r="L12" s="1"/>
      <c r="M12" s="1"/>
      <c r="N12" s="1"/>
      <c r="O12" s="1"/>
      <c r="P12" s="1"/>
      <c r="Q12" s="1"/>
      <c r="R12" s="1"/>
      <c r="S12" s="1"/>
      <c r="T12" s="1"/>
      <c r="U12" s="1"/>
      <c r="V12" s="1"/>
      <c r="W12" s="1"/>
    </row>
    <row r="13" spans="1:23" ht="16.5">
      <c r="A13" s="2"/>
      <c r="B13" s="62"/>
      <c r="C13" s="63"/>
      <c r="D13" s="8"/>
      <c r="E13" s="8"/>
      <c r="F13" s="8"/>
      <c r="G13" s="8"/>
      <c r="H13" s="8"/>
      <c r="I13" s="8"/>
      <c r="J13" s="8"/>
      <c r="K13" s="61"/>
      <c r="L13" s="1"/>
      <c r="M13" s="1"/>
      <c r="N13" s="283"/>
      <c r="O13" s="1"/>
      <c r="P13" s="1"/>
      <c r="Q13" s="1"/>
      <c r="R13" s="1"/>
      <c r="S13" s="1"/>
      <c r="T13" s="1"/>
      <c r="U13" s="1"/>
      <c r="V13" s="1"/>
      <c r="W13" s="1"/>
    </row>
    <row r="14" spans="1:23" ht="16.5">
      <c r="A14" s="2"/>
      <c r="B14" s="62" t="s">
        <v>81</v>
      </c>
      <c r="C14" s="63" t="s">
        <v>84</v>
      </c>
      <c r="D14" s="8"/>
      <c r="E14" s="8"/>
      <c r="F14" s="8"/>
      <c r="G14" s="8"/>
      <c r="H14" s="8"/>
      <c r="I14" s="8"/>
      <c r="J14" s="8"/>
      <c r="K14" s="61"/>
      <c r="L14" s="1"/>
      <c r="M14" s="1"/>
      <c r="N14" s="1"/>
      <c r="O14" s="1"/>
      <c r="P14" s="1"/>
      <c r="Q14" s="1"/>
      <c r="R14" s="1"/>
      <c r="S14" s="1"/>
      <c r="T14" s="1"/>
      <c r="U14" s="1"/>
      <c r="V14" s="1"/>
      <c r="W14" s="1"/>
    </row>
    <row r="15" spans="1:23" ht="16.5">
      <c r="A15" s="2"/>
      <c r="B15" s="62" t="s">
        <v>5</v>
      </c>
      <c r="C15" s="63" t="s">
        <v>85</v>
      </c>
      <c r="D15" s="64"/>
      <c r="E15" s="8"/>
      <c r="F15" s="8"/>
      <c r="G15" s="8"/>
      <c r="H15" s="8"/>
      <c r="I15" s="8"/>
      <c r="J15" s="8"/>
      <c r="K15" s="61"/>
      <c r="L15" s="1"/>
      <c r="M15" s="1"/>
      <c r="N15" s="1"/>
      <c r="O15" s="1"/>
      <c r="P15" s="1"/>
      <c r="Q15" s="1"/>
      <c r="R15" s="1"/>
      <c r="S15" s="1"/>
      <c r="T15" s="1"/>
      <c r="U15" s="1"/>
      <c r="V15" s="1"/>
      <c r="W15" s="1"/>
    </row>
    <row r="16" spans="1:23" ht="16.5">
      <c r="A16" s="2"/>
      <c r="B16" s="62" t="s">
        <v>5</v>
      </c>
      <c r="C16" s="63" t="s">
        <v>86</v>
      </c>
      <c r="D16" s="64"/>
      <c r="E16" s="8"/>
      <c r="F16" s="8"/>
      <c r="G16" s="8"/>
      <c r="H16" s="8"/>
      <c r="I16" s="8"/>
      <c r="J16" s="8"/>
      <c r="K16" s="61"/>
      <c r="L16" s="1"/>
      <c r="M16" s="1"/>
      <c r="N16" s="1"/>
      <c r="O16" s="1"/>
      <c r="P16" s="1"/>
      <c r="Q16" s="1"/>
      <c r="R16" s="1"/>
      <c r="S16" s="1"/>
      <c r="T16" s="1"/>
      <c r="U16" s="1"/>
      <c r="V16" s="1"/>
      <c r="W16" s="1"/>
    </row>
    <row r="17" spans="1:23" ht="16.5">
      <c r="A17" s="2"/>
      <c r="B17" s="62"/>
      <c r="C17" s="63"/>
      <c r="D17" s="8"/>
      <c r="E17" s="8"/>
      <c r="F17" s="8"/>
      <c r="G17" s="8"/>
      <c r="H17" s="8"/>
      <c r="I17" s="8"/>
      <c r="J17" s="8"/>
      <c r="K17" s="61"/>
      <c r="L17" s="1"/>
      <c r="M17" s="1"/>
      <c r="N17" s="1"/>
      <c r="O17" s="1"/>
      <c r="P17" s="1"/>
      <c r="Q17" s="1"/>
      <c r="R17" s="1"/>
      <c r="S17" s="1"/>
      <c r="T17" s="1"/>
      <c r="U17" s="1"/>
      <c r="V17" s="1"/>
      <c r="W17" s="1"/>
    </row>
    <row r="18" spans="1:23" ht="16.5">
      <c r="A18" s="2"/>
      <c r="B18" s="62" t="s">
        <v>81</v>
      </c>
      <c r="C18" s="63" t="s">
        <v>87</v>
      </c>
      <c r="D18" s="8"/>
      <c r="E18" s="8"/>
      <c r="F18" s="8"/>
      <c r="G18" s="8"/>
      <c r="H18" s="8"/>
      <c r="I18" s="8"/>
      <c r="J18" s="8"/>
      <c r="K18" s="61"/>
      <c r="L18" s="1"/>
      <c r="M18" s="1"/>
      <c r="N18" s="1"/>
      <c r="O18" s="1"/>
      <c r="P18" s="1"/>
      <c r="Q18" s="1"/>
      <c r="R18" s="1"/>
      <c r="S18" s="1"/>
      <c r="T18" s="1"/>
      <c r="U18" s="1"/>
      <c r="V18" s="1"/>
      <c r="W18" s="1"/>
    </row>
    <row r="19" spans="1:23" ht="16.5">
      <c r="A19" s="2"/>
      <c r="B19" s="65" t="s">
        <v>5</v>
      </c>
      <c r="C19" s="63" t="s">
        <v>88</v>
      </c>
      <c r="D19" s="64"/>
      <c r="E19" s="8"/>
      <c r="F19" s="8"/>
      <c r="G19" s="8"/>
      <c r="H19" s="8"/>
      <c r="I19" s="8"/>
      <c r="J19" s="8"/>
      <c r="K19" s="61"/>
      <c r="L19" s="1"/>
      <c r="M19" s="1"/>
      <c r="N19" s="1"/>
      <c r="O19" s="1"/>
      <c r="P19" s="1"/>
      <c r="Q19" s="1"/>
      <c r="R19" s="1"/>
      <c r="S19" s="1"/>
      <c r="T19" s="1"/>
      <c r="U19" s="1"/>
      <c r="V19" s="1"/>
      <c r="W19" s="1"/>
    </row>
    <row r="20" spans="1:23" ht="16.5">
      <c r="A20" s="2"/>
      <c r="B20" s="65"/>
      <c r="C20" s="63"/>
      <c r="D20" s="64"/>
      <c r="E20" s="8"/>
      <c r="F20" s="8"/>
      <c r="G20" s="8"/>
      <c r="H20" s="8"/>
      <c r="I20" s="8"/>
      <c r="J20" s="8"/>
      <c r="K20" s="61"/>
      <c r="L20" s="1"/>
      <c r="M20" s="1"/>
      <c r="N20" s="1"/>
      <c r="O20" s="1"/>
      <c r="P20" s="1"/>
      <c r="Q20" s="1"/>
      <c r="R20" s="1"/>
      <c r="S20" s="1"/>
      <c r="T20" s="1"/>
      <c r="U20" s="1"/>
      <c r="V20" s="1"/>
      <c r="W20" s="1"/>
    </row>
    <row r="21" spans="1:23" ht="16.5">
      <c r="A21" s="2"/>
      <c r="B21" s="62" t="s">
        <v>81</v>
      </c>
      <c r="C21" s="63" t="s">
        <v>119</v>
      </c>
      <c r="D21" s="64"/>
      <c r="E21" s="8"/>
      <c r="F21" s="8"/>
      <c r="G21" s="8"/>
      <c r="H21" s="8"/>
      <c r="I21" s="8"/>
      <c r="J21" s="8"/>
      <c r="K21" s="61"/>
      <c r="L21" s="1"/>
      <c r="M21" s="1"/>
      <c r="N21" s="1"/>
      <c r="O21" s="1"/>
      <c r="P21" s="1"/>
      <c r="Q21" s="1"/>
      <c r="R21" s="1"/>
      <c r="S21" s="1"/>
      <c r="T21" s="1"/>
      <c r="U21" s="1"/>
      <c r="V21" s="1"/>
      <c r="W21" s="1"/>
    </row>
    <row r="22" spans="1:23" ht="16.5">
      <c r="A22" s="2"/>
      <c r="B22" s="65" t="s">
        <v>5</v>
      </c>
      <c r="C22" s="63" t="s">
        <v>120</v>
      </c>
      <c r="D22" s="64"/>
      <c r="E22" s="8"/>
      <c r="F22" s="8"/>
      <c r="G22" s="8"/>
      <c r="H22" s="8"/>
      <c r="I22" s="8"/>
      <c r="J22" s="8"/>
      <c r="K22" s="61"/>
      <c r="L22" s="1"/>
      <c r="M22" s="1"/>
      <c r="N22" s="1"/>
      <c r="O22" s="1"/>
      <c r="P22" s="1"/>
      <c r="Q22" s="1"/>
      <c r="R22" s="1"/>
      <c r="S22" s="1"/>
      <c r="T22" s="1"/>
      <c r="U22" s="1"/>
      <c r="V22" s="1"/>
      <c r="W22" s="1"/>
    </row>
    <row r="23" spans="1:23" ht="16.5">
      <c r="A23" s="2"/>
      <c r="B23" s="72"/>
      <c r="C23" s="79" t="s">
        <v>121</v>
      </c>
      <c r="D23" s="64"/>
      <c r="E23" s="8"/>
      <c r="F23" s="8"/>
      <c r="G23" s="8"/>
      <c r="H23" s="8"/>
      <c r="I23" s="8"/>
      <c r="J23" s="8"/>
      <c r="K23" s="61"/>
      <c r="L23" s="1"/>
      <c r="M23" s="1"/>
      <c r="N23" s="1"/>
      <c r="O23" s="1"/>
      <c r="P23" s="1"/>
      <c r="Q23" s="1"/>
      <c r="R23" s="1"/>
      <c r="S23" s="1"/>
      <c r="T23" s="1"/>
      <c r="U23" s="1"/>
      <c r="V23" s="1"/>
      <c r="W23" s="1"/>
    </row>
    <row r="24" spans="1:23" ht="16.5">
      <c r="A24" s="2"/>
      <c r="B24" s="62"/>
      <c r="C24" s="63"/>
      <c r="D24" s="64"/>
      <c r="E24" s="8"/>
      <c r="F24" s="8"/>
      <c r="G24" s="8"/>
      <c r="H24" s="8"/>
      <c r="I24" s="8"/>
      <c r="J24" s="8"/>
      <c r="K24" s="61"/>
      <c r="L24" s="1"/>
      <c r="M24" s="1"/>
      <c r="N24" s="1"/>
      <c r="O24" s="1"/>
      <c r="P24" s="1"/>
      <c r="Q24" s="1"/>
      <c r="R24" s="1"/>
      <c r="S24" s="1"/>
      <c r="T24" s="1"/>
      <c r="U24" s="1"/>
      <c r="V24" s="1"/>
      <c r="W24" s="1"/>
    </row>
    <row r="25" spans="1:23" ht="16.5">
      <c r="A25" s="2"/>
      <c r="B25" s="65"/>
      <c r="C25" s="63"/>
      <c r="D25" s="64"/>
      <c r="E25" s="8"/>
      <c r="F25" s="8"/>
      <c r="G25" s="8"/>
      <c r="H25" s="8"/>
      <c r="I25" s="8"/>
      <c r="J25" s="8"/>
      <c r="K25" s="61"/>
      <c r="L25" s="1"/>
      <c r="M25" s="1"/>
      <c r="N25" s="1"/>
      <c r="O25" s="1"/>
      <c r="P25" s="1"/>
      <c r="Q25" s="1"/>
      <c r="R25" s="1"/>
      <c r="S25" s="1"/>
      <c r="T25" s="1"/>
      <c r="U25" s="1"/>
      <c r="V25" s="1"/>
      <c r="W25" s="1"/>
    </row>
    <row r="26" spans="1:23" ht="16.5">
      <c r="A26" s="2"/>
      <c r="B26" s="72"/>
      <c r="C26" s="79"/>
      <c r="D26" s="8"/>
      <c r="E26" s="8"/>
      <c r="F26" s="8"/>
      <c r="G26" s="8"/>
      <c r="H26" s="8"/>
      <c r="I26" s="8"/>
      <c r="J26" s="8"/>
      <c r="K26" s="61"/>
      <c r="L26" s="1"/>
      <c r="M26" s="1"/>
      <c r="N26" s="1"/>
      <c r="O26" s="1"/>
      <c r="P26" s="1"/>
      <c r="Q26" s="1"/>
      <c r="R26" s="1"/>
      <c r="S26" s="1"/>
      <c r="T26" s="1"/>
      <c r="U26" s="1"/>
      <c r="V26" s="1"/>
      <c r="W26" s="1"/>
    </row>
    <row r="27" spans="1:23" ht="12.75">
      <c r="A27" s="2"/>
      <c r="B27" s="80"/>
      <c r="C27" s="7"/>
      <c r="D27" s="7"/>
      <c r="E27" s="7"/>
      <c r="F27" s="7"/>
      <c r="G27" s="7"/>
      <c r="H27" s="7"/>
      <c r="I27" s="7"/>
      <c r="J27" s="7"/>
      <c r="K27" s="66"/>
      <c r="L27" s="1"/>
      <c r="M27" s="1"/>
      <c r="N27" s="1"/>
      <c r="O27" s="1"/>
      <c r="P27" s="1"/>
      <c r="Q27" s="1"/>
      <c r="R27" s="1"/>
      <c r="S27" s="1"/>
      <c r="T27" s="1"/>
      <c r="U27" s="1"/>
      <c r="V27" s="1"/>
      <c r="W27" s="1"/>
    </row>
    <row r="28" spans="1:23" ht="15.75">
      <c r="A28" s="2"/>
      <c r="B28" s="67"/>
      <c r="C28" s="8"/>
      <c r="D28" s="8"/>
      <c r="E28" s="8"/>
      <c r="F28" s="8"/>
      <c r="G28" s="8"/>
      <c r="H28" s="8"/>
      <c r="I28" s="8"/>
      <c r="J28" s="8"/>
      <c r="K28" s="8"/>
      <c r="L28" s="1"/>
      <c r="M28" s="1"/>
      <c r="N28" s="1"/>
      <c r="O28" s="1"/>
      <c r="P28" s="1"/>
      <c r="Q28" s="1"/>
      <c r="R28" s="1"/>
      <c r="S28" s="1"/>
      <c r="T28" s="1"/>
      <c r="U28" s="1"/>
      <c r="V28" s="1"/>
      <c r="W28" s="1"/>
    </row>
    <row r="29" spans="1:23" ht="29.25" customHeight="1">
      <c r="A29" s="2"/>
      <c r="B29" s="68" t="s">
        <v>89</v>
      </c>
      <c r="C29" s="69" t="s">
        <v>90</v>
      </c>
      <c r="D29" s="69"/>
      <c r="E29" s="58"/>
      <c r="F29" s="58"/>
      <c r="G29" s="58"/>
      <c r="H29" s="58"/>
      <c r="I29" s="58"/>
      <c r="J29" s="58"/>
      <c r="K29" s="59"/>
      <c r="L29" s="1"/>
      <c r="M29" s="77"/>
      <c r="N29" s="1"/>
      <c r="O29" s="1"/>
      <c r="P29" s="1"/>
      <c r="Q29" s="1"/>
      <c r="R29" s="1"/>
      <c r="S29" s="1"/>
      <c r="T29" s="1"/>
      <c r="U29" s="1"/>
      <c r="V29" s="1"/>
      <c r="W29" s="1"/>
    </row>
    <row r="30" spans="1:23" ht="17.25" customHeight="1">
      <c r="A30" s="2"/>
      <c r="B30" s="70"/>
      <c r="C30" s="71" t="s">
        <v>91</v>
      </c>
      <c r="D30" s="71"/>
      <c r="E30" s="8"/>
      <c r="F30" s="8"/>
      <c r="G30" s="8"/>
      <c r="H30" s="8"/>
      <c r="I30" s="8"/>
      <c r="J30" s="8"/>
      <c r="K30" s="61"/>
      <c r="L30" s="1"/>
      <c r="M30" s="49"/>
      <c r="N30" s="1"/>
      <c r="O30" s="1"/>
      <c r="P30" s="1"/>
      <c r="Q30" s="1"/>
      <c r="R30" s="1"/>
      <c r="S30" s="1"/>
      <c r="T30" s="1"/>
      <c r="U30" s="1"/>
      <c r="V30" s="1"/>
      <c r="W30" s="1"/>
    </row>
    <row r="31" spans="1:23" ht="17.25" customHeight="1">
      <c r="A31" s="2"/>
      <c r="B31" s="72"/>
      <c r="C31" s="71" t="s">
        <v>92</v>
      </c>
      <c r="D31" s="71"/>
      <c r="E31" s="8"/>
      <c r="F31" s="8"/>
      <c r="G31" s="8"/>
      <c r="H31" s="8"/>
      <c r="I31" s="8"/>
      <c r="J31" s="8"/>
      <c r="K31" s="61"/>
      <c r="L31" s="1"/>
      <c r="M31" s="1"/>
      <c r="N31" s="1"/>
      <c r="O31" s="1"/>
      <c r="P31" s="1"/>
      <c r="Q31" s="1"/>
      <c r="R31" s="1"/>
      <c r="S31" s="1"/>
      <c r="T31" s="1"/>
      <c r="U31" s="1"/>
      <c r="V31" s="1"/>
      <c r="W31" s="1"/>
    </row>
    <row r="32" spans="1:23" ht="17.25" customHeight="1">
      <c r="A32" s="2"/>
      <c r="B32" s="70"/>
      <c r="C32" s="71" t="s">
        <v>93</v>
      </c>
      <c r="D32" s="71"/>
      <c r="E32" s="8"/>
      <c r="F32" s="8"/>
      <c r="G32" s="8"/>
      <c r="H32" s="8"/>
      <c r="I32" s="8"/>
      <c r="J32" s="8"/>
      <c r="K32" s="61"/>
      <c r="L32" s="1"/>
      <c r="M32" s="1"/>
      <c r="N32" s="1"/>
      <c r="O32" s="1"/>
      <c r="P32" s="1"/>
      <c r="Q32" s="1"/>
      <c r="R32" s="1"/>
      <c r="S32" s="1"/>
      <c r="T32" s="1"/>
      <c r="U32" s="1"/>
      <c r="V32" s="1"/>
      <c r="W32" s="1"/>
    </row>
    <row r="33" spans="1:23" ht="17.25" customHeight="1">
      <c r="A33" s="2"/>
      <c r="B33" s="70"/>
      <c r="C33" s="64" t="s">
        <v>94</v>
      </c>
      <c r="D33" s="64"/>
      <c r="E33" s="8"/>
      <c r="F33" s="8"/>
      <c r="G33" s="8"/>
      <c r="H33" s="8"/>
      <c r="I33" s="8"/>
      <c r="J33" s="8"/>
      <c r="K33" s="61"/>
      <c r="L33" s="1"/>
      <c r="M33" s="1"/>
      <c r="N33" s="1"/>
      <c r="O33" s="1"/>
      <c r="P33" s="1"/>
      <c r="Q33" s="1"/>
      <c r="R33" s="1"/>
      <c r="S33" s="1"/>
      <c r="T33" s="1"/>
      <c r="U33" s="1"/>
      <c r="V33" s="1"/>
      <c r="W33" s="1"/>
    </row>
    <row r="34" spans="1:23" ht="17.25" customHeight="1">
      <c r="A34" s="2"/>
      <c r="B34" s="73"/>
      <c r="C34" s="64" t="s">
        <v>95</v>
      </c>
      <c r="D34" s="64"/>
      <c r="E34" s="8"/>
      <c r="F34" s="8"/>
      <c r="G34" s="8"/>
      <c r="H34" s="8"/>
      <c r="I34" s="8"/>
      <c r="J34" s="8"/>
      <c r="K34" s="61"/>
      <c r="L34" s="1"/>
      <c r="M34" s="1"/>
      <c r="N34" s="1"/>
      <c r="O34" s="1"/>
      <c r="P34" s="1"/>
      <c r="Q34" s="1"/>
      <c r="R34" s="1"/>
      <c r="S34" s="1"/>
      <c r="T34" s="1"/>
      <c r="U34" s="1"/>
      <c r="V34" s="1"/>
      <c r="W34" s="1"/>
    </row>
    <row r="35" spans="1:23" ht="17.25" customHeight="1">
      <c r="A35" s="2"/>
      <c r="B35" s="70"/>
      <c r="C35" s="64" t="s">
        <v>96</v>
      </c>
      <c r="D35" s="64"/>
      <c r="E35" s="8"/>
      <c r="F35" s="8"/>
      <c r="G35" s="8"/>
      <c r="H35" s="8"/>
      <c r="I35" s="8"/>
      <c r="J35" s="8"/>
      <c r="K35" s="61"/>
      <c r="L35" s="1"/>
      <c r="M35" s="1"/>
      <c r="N35" s="1"/>
      <c r="O35" s="1"/>
      <c r="P35" s="1"/>
      <c r="Q35" s="1"/>
      <c r="R35" s="1"/>
      <c r="S35" s="1"/>
      <c r="T35" s="1"/>
      <c r="U35" s="1"/>
      <c r="V35" s="1"/>
      <c r="W35" s="1"/>
    </row>
    <row r="36" spans="1:23" ht="17.25" customHeight="1">
      <c r="A36" s="2"/>
      <c r="B36" s="74"/>
      <c r="C36" s="75" t="s">
        <v>97</v>
      </c>
      <c r="D36" s="75"/>
      <c r="E36" s="7"/>
      <c r="F36" s="7"/>
      <c r="G36" s="7"/>
      <c r="H36" s="7"/>
      <c r="I36" s="7"/>
      <c r="J36" s="7"/>
      <c r="K36" s="66"/>
      <c r="L36" s="1"/>
      <c r="M36" s="1"/>
      <c r="N36" s="1"/>
      <c r="O36" s="1"/>
      <c r="P36" s="1"/>
      <c r="Q36" s="1"/>
      <c r="R36" s="1"/>
      <c r="S36" s="1"/>
      <c r="T36" s="1"/>
      <c r="U36" s="1"/>
      <c r="V36" s="1"/>
      <c r="W36" s="1"/>
    </row>
    <row r="37" spans="3:10" ht="62.25" customHeight="1">
      <c r="C37" s="922">
        <f>'Provider Information'!$F$6</f>
        <v>0</v>
      </c>
      <c r="D37" s="922"/>
      <c r="E37" s="922"/>
      <c r="F37" s="50"/>
      <c r="G37" s="923"/>
      <c r="H37" s="923"/>
      <c r="I37" s="923"/>
      <c r="J37" s="923"/>
    </row>
    <row r="38" spans="3:10" ht="12" customHeight="1">
      <c r="C38" s="933" t="s">
        <v>98</v>
      </c>
      <c r="D38" s="933"/>
      <c r="E38" s="933"/>
      <c r="F38" s="51"/>
      <c r="G38" s="921" t="s">
        <v>34</v>
      </c>
      <c r="H38" s="921"/>
      <c r="I38" s="921"/>
      <c r="J38" s="921"/>
    </row>
    <row r="39" ht="12.75">
      <c r="B39" s="51"/>
    </row>
    <row r="40" spans="2:10" ht="12.75">
      <c r="B40" s="51"/>
      <c r="C40" s="925"/>
      <c r="D40" s="925"/>
      <c r="E40" s="925"/>
      <c r="G40" s="927"/>
      <c r="H40" s="927"/>
      <c r="I40" s="927"/>
      <c r="J40" s="927"/>
    </row>
    <row r="41" spans="3:10" ht="15.75">
      <c r="C41" s="926"/>
      <c r="D41" s="926"/>
      <c r="E41" s="926"/>
      <c r="F41" s="50"/>
      <c r="G41" s="928"/>
      <c r="H41" s="928"/>
      <c r="I41" s="928"/>
      <c r="J41" s="928"/>
    </row>
    <row r="42" spans="3:10" ht="12.75">
      <c r="C42" s="921" t="s">
        <v>36</v>
      </c>
      <c r="D42" s="921"/>
      <c r="E42" s="921"/>
      <c r="F42" s="52"/>
      <c r="G42" s="921" t="s">
        <v>35</v>
      </c>
      <c r="H42" s="921"/>
      <c r="I42" s="921"/>
      <c r="J42" s="921"/>
    </row>
    <row r="43" ht="12.75">
      <c r="B43" s="51"/>
    </row>
    <row r="44" ht="12.75">
      <c r="B44" s="51"/>
    </row>
    <row r="45" ht="12.75">
      <c r="B45" s="51"/>
    </row>
    <row r="46" spans="1:9" ht="15.75">
      <c r="A46" s="2"/>
      <c r="B46" s="2"/>
      <c r="C46" s="237" t="s">
        <v>99</v>
      </c>
      <c r="D46" s="53"/>
      <c r="E46" s="54" t="s">
        <v>100</v>
      </c>
      <c r="F46" s="53"/>
      <c r="G46" s="54" t="s">
        <v>101</v>
      </c>
      <c r="H46" s="54"/>
      <c r="I46" s="54"/>
    </row>
    <row r="47" spans="1:9" ht="15.75">
      <c r="A47" s="2"/>
      <c r="B47" s="2"/>
      <c r="C47" s="237" t="s">
        <v>102</v>
      </c>
      <c r="D47" s="53"/>
      <c r="E47" s="51" t="s">
        <v>103</v>
      </c>
      <c r="F47" s="53"/>
      <c r="G47" s="54" t="s">
        <v>104</v>
      </c>
      <c r="H47" s="54"/>
      <c r="I47" s="54"/>
    </row>
    <row r="48" spans="1:9" ht="15.75">
      <c r="A48" s="2"/>
      <c r="B48" s="2"/>
      <c r="C48" s="2"/>
      <c r="D48" s="53"/>
      <c r="E48" s="54" t="s">
        <v>105</v>
      </c>
      <c r="F48" s="53"/>
      <c r="G48" s="54" t="s">
        <v>106</v>
      </c>
      <c r="H48" s="54"/>
      <c r="I48" s="54"/>
    </row>
    <row r="49" ht="12.75">
      <c r="B49" s="51"/>
    </row>
  </sheetData>
  <sheetProtection sheet="1" formatCells="0" formatColumns="0" formatRows="0"/>
  <mergeCells count="15">
    <mergeCell ref="B6:K6"/>
    <mergeCell ref="C38:E38"/>
    <mergeCell ref="G38:J38"/>
    <mergeCell ref="D3:I3"/>
    <mergeCell ref="D4:H4"/>
    <mergeCell ref="D2:H2"/>
    <mergeCell ref="C42:E42"/>
    <mergeCell ref="G42:J42"/>
    <mergeCell ref="C37:E37"/>
    <mergeCell ref="G37:J37"/>
    <mergeCell ref="B5:K5"/>
    <mergeCell ref="C40:E41"/>
    <mergeCell ref="G40:J41"/>
    <mergeCell ref="B7:E7"/>
    <mergeCell ref="G7:K7"/>
  </mergeCells>
  <printOptions/>
  <pageMargins left="0.39" right="0.23" top="0.68" bottom="0.6" header="0.5" footer="0.5"/>
  <pageSetup fitToHeight="1" fitToWidth="1" horizontalDpi="600" verticalDpi="600" orientation="portrait" paperSize="5" scale="97" r:id="rId2"/>
  <drawing r:id="rId1"/>
</worksheet>
</file>

<file path=xl/worksheets/sheet7.xml><?xml version="1.0" encoding="utf-8"?>
<worksheet xmlns="http://schemas.openxmlformats.org/spreadsheetml/2006/main" xmlns:r="http://schemas.openxmlformats.org/officeDocument/2006/relationships">
  <sheetPr codeName="Sheet6">
    <tabColor rgb="FF7030A0"/>
    <pageSetUpPr fitToPage="1"/>
  </sheetPr>
  <dimension ref="B1:K118"/>
  <sheetViews>
    <sheetView showGridLines="0" zoomScale="80" zoomScaleNormal="80" zoomScalePageLayoutView="0" workbookViewId="0" topLeftCell="A21">
      <selection activeCell="K31" sqref="K31"/>
    </sheetView>
  </sheetViews>
  <sheetFormatPr defaultColWidth="9.140625" defaultRowHeight="12.75"/>
  <cols>
    <col min="1" max="1" width="9.140625" style="2" customWidth="1"/>
    <col min="2" max="2" width="2.57421875" style="2" customWidth="1"/>
    <col min="3" max="3" width="19.8515625" style="2" customWidth="1"/>
    <col min="4" max="4" width="10.57421875" style="2" customWidth="1"/>
    <col min="5" max="5" width="14.421875" style="2" customWidth="1"/>
    <col min="6" max="6" width="13.7109375" style="2" customWidth="1"/>
    <col min="7" max="7" width="16.57421875" style="2" customWidth="1"/>
    <col min="8" max="8" width="16.7109375" style="2" customWidth="1"/>
    <col min="9" max="9" width="9.421875" style="2" customWidth="1"/>
    <col min="10" max="10" width="3.421875" style="2" customWidth="1"/>
    <col min="11" max="11" width="14.8515625" style="2" customWidth="1"/>
    <col min="12" max="16384" width="9.140625" style="2" customWidth="1"/>
  </cols>
  <sheetData>
    <row r="1" spans="3:7" ht="12.75">
      <c r="C1" s="683">
        <f ca="1">NOW()</f>
        <v>44650.39911342593</v>
      </c>
      <c r="D1" s="683"/>
      <c r="E1" s="683"/>
      <c r="F1" s="683"/>
      <c r="G1" s="683"/>
    </row>
    <row r="2" spans="3:9" ht="12.75">
      <c r="C2" s="367" t="s">
        <v>26</v>
      </c>
      <c r="D2" s="816">
        <f>+'Provider Information'!F6</f>
        <v>0</v>
      </c>
      <c r="E2" s="817"/>
      <c r="F2" s="817"/>
      <c r="G2" s="817"/>
      <c r="H2" s="817"/>
      <c r="I2" s="13"/>
    </row>
    <row r="3" spans="3:9" ht="12.75">
      <c r="C3" s="644" t="s">
        <v>389</v>
      </c>
      <c r="D3" s="816" t="str">
        <f>+'Provider Information'!D21</f>
        <v>Area Agency on Aging of Deep East Texas</v>
      </c>
      <c r="E3" s="816"/>
      <c r="F3" s="816"/>
      <c r="G3" s="816"/>
      <c r="H3" s="816"/>
      <c r="I3" s="816"/>
    </row>
    <row r="4" spans="2:11" ht="12.75">
      <c r="B4" s="76"/>
      <c r="C4" s="722" t="s">
        <v>390</v>
      </c>
      <c r="D4" s="815" t="str">
        <f>+'Provider Information'!E26</f>
        <v>Region 5</v>
      </c>
      <c r="E4" s="815"/>
      <c r="F4" s="815"/>
      <c r="G4" s="815"/>
      <c r="H4" s="815"/>
      <c r="I4" s="680"/>
      <c r="J4" s="960"/>
      <c r="K4" s="960"/>
    </row>
    <row r="5" spans="2:11" ht="15.75">
      <c r="B5" s="959" t="s">
        <v>247</v>
      </c>
      <c r="C5" s="959"/>
      <c r="D5" s="959"/>
      <c r="E5" s="959"/>
      <c r="F5" s="959"/>
      <c r="G5" s="959"/>
      <c r="H5" s="959"/>
      <c r="I5" s="959"/>
      <c r="J5" s="959"/>
      <c r="K5" s="959"/>
    </row>
    <row r="6" spans="2:11" ht="15.75">
      <c r="B6" s="959" t="s">
        <v>74</v>
      </c>
      <c r="C6" s="959"/>
      <c r="D6" s="959"/>
      <c r="E6" s="959"/>
      <c r="F6" s="959"/>
      <c r="G6" s="959"/>
      <c r="H6" s="959"/>
      <c r="I6" s="959"/>
      <c r="J6" s="959"/>
      <c r="K6" s="959"/>
    </row>
    <row r="7" spans="2:11" ht="12.75">
      <c r="B7" s="775"/>
      <c r="C7" s="775"/>
      <c r="D7" s="775"/>
      <c r="E7" s="775"/>
      <c r="F7" s="775"/>
      <c r="G7" s="775"/>
      <c r="H7" s="775"/>
      <c r="I7" s="775"/>
      <c r="J7" s="775"/>
      <c r="K7" s="775"/>
    </row>
    <row r="8" spans="2:11" ht="12.75">
      <c r="B8" s="942" t="s">
        <v>111</v>
      </c>
      <c r="C8" s="942"/>
      <c r="D8" s="942"/>
      <c r="E8" s="942"/>
      <c r="F8" s="942"/>
      <c r="G8" s="942"/>
      <c r="H8" s="942"/>
      <c r="I8" s="942"/>
      <c r="J8" s="5" t="s">
        <v>0</v>
      </c>
      <c r="K8" s="6" t="e">
        <f>+'Home Delivered Meal Budget'!I80</f>
        <v>#DIV/0!</v>
      </c>
    </row>
    <row r="9" spans="2:11" ht="12.75">
      <c r="B9" s="775"/>
      <c r="C9" s="775"/>
      <c r="D9" s="775"/>
      <c r="E9" s="775"/>
      <c r="F9" s="775"/>
      <c r="G9" s="775"/>
      <c r="H9" s="775"/>
      <c r="I9" s="775"/>
      <c r="J9" s="775"/>
      <c r="K9" s="775"/>
    </row>
    <row r="10" spans="2:11" ht="12.75">
      <c r="B10" s="942" t="s">
        <v>307</v>
      </c>
      <c r="C10" s="942"/>
      <c r="D10" s="942"/>
      <c r="E10" s="942"/>
      <c r="F10" s="942"/>
      <c r="G10" s="942"/>
      <c r="H10" s="942"/>
      <c r="I10" s="942"/>
      <c r="J10" s="942"/>
      <c r="K10" s="942"/>
    </row>
    <row r="11" spans="2:11" ht="12.75">
      <c r="B11" s="775"/>
      <c r="C11" s="775"/>
      <c r="D11" s="775"/>
      <c r="E11" s="775"/>
      <c r="F11" s="775"/>
      <c r="G11" s="775"/>
      <c r="H11" s="775"/>
      <c r="I11" s="775"/>
      <c r="J11" s="775"/>
      <c r="K11" s="775"/>
    </row>
    <row r="12" spans="2:11" ht="39.75" customHeight="1">
      <c r="B12" s="958" t="s">
        <v>434</v>
      </c>
      <c r="C12" s="955"/>
      <c r="D12" s="48">
        <f>+'Home Delivered Meal Budget'!F88</f>
        <v>0</v>
      </c>
      <c r="E12" s="723" t="s">
        <v>30</v>
      </c>
      <c r="F12" s="48">
        <f>+'Home Delivered Meal Budget'!F89</f>
        <v>0</v>
      </c>
      <c r="G12" s="597" t="s">
        <v>331</v>
      </c>
      <c r="H12" s="48">
        <f>+'Home Delivered Meal Budget'!F90+'Home Delivered Meal Budget'!F91</f>
        <v>0</v>
      </c>
      <c r="I12" s="954"/>
      <c r="J12" s="954"/>
      <c r="K12" s="954"/>
    </row>
    <row r="13" spans="2:11" ht="12.75">
      <c r="B13" s="954"/>
      <c r="C13" s="954"/>
      <c r="D13" s="954"/>
      <c r="E13" s="954"/>
      <c r="F13" s="954"/>
      <c r="G13" s="954"/>
      <c r="H13" s="954"/>
      <c r="I13" s="954"/>
      <c r="J13" s="954"/>
      <c r="K13" s="954"/>
    </row>
    <row r="14" spans="2:11" ht="25.5">
      <c r="B14" s="955" t="s">
        <v>38</v>
      </c>
      <c r="C14" s="955"/>
      <c r="D14" s="48">
        <f>+'Home Delivered Meal Budget'!F92</f>
        <v>0</v>
      </c>
      <c r="E14" s="141" t="s">
        <v>406</v>
      </c>
      <c r="F14" s="48">
        <f>+'Home Delivered Meal Budget'!F93</f>
        <v>0</v>
      </c>
      <c r="G14" s="200" t="s">
        <v>308</v>
      </c>
      <c r="H14" s="48">
        <f>+'Home Delivered Meal Budget'!F94</f>
        <v>0</v>
      </c>
      <c r="I14" s="15"/>
      <c r="J14" s="46" t="s">
        <v>2</v>
      </c>
      <c r="K14" s="9">
        <f>IF('Home Delivered Meal Budget'!F98&gt;0,+D12+F12+H12+D14+F14+H14,0)</f>
        <v>0</v>
      </c>
    </row>
    <row r="15" spans="2:11" ht="6" customHeight="1">
      <c r="B15" s="775"/>
      <c r="C15" s="775"/>
      <c r="D15" s="775"/>
      <c r="E15" s="775"/>
      <c r="F15" s="775"/>
      <c r="G15" s="775"/>
      <c r="H15" s="775"/>
      <c r="I15" s="775"/>
      <c r="J15" s="775"/>
      <c r="K15" s="775"/>
    </row>
    <row r="16" spans="2:11" ht="12.75">
      <c r="B16" s="957"/>
      <c r="C16" s="957"/>
      <c r="D16" s="957"/>
      <c r="E16" s="957"/>
      <c r="F16" s="957"/>
      <c r="G16" s="957"/>
      <c r="H16" s="957"/>
      <c r="I16" s="957"/>
      <c r="J16" s="957"/>
      <c r="K16" s="957"/>
    </row>
    <row r="17" spans="2:11" ht="6.75" customHeight="1">
      <c r="B17" s="775"/>
      <c r="C17" s="775"/>
      <c r="D17" s="775"/>
      <c r="E17" s="775"/>
      <c r="F17" s="775"/>
      <c r="G17" s="775"/>
      <c r="H17" s="775"/>
      <c r="I17" s="775"/>
      <c r="J17" s="775"/>
      <c r="K17" s="775"/>
    </row>
    <row r="18" spans="2:11" ht="12.75">
      <c r="B18" s="942" t="s">
        <v>407</v>
      </c>
      <c r="C18" s="942"/>
      <c r="D18" s="942"/>
      <c r="E18" s="942"/>
      <c r="F18" s="942"/>
      <c r="G18" s="956"/>
      <c r="H18" s="942"/>
      <c r="I18" s="942"/>
      <c r="J18" s="5" t="s">
        <v>3</v>
      </c>
      <c r="K18" s="45">
        <f>ROUND(IF(K14=0,0,+K8/K14),2)</f>
        <v>0</v>
      </c>
    </row>
    <row r="19" spans="2:11" ht="12.75">
      <c r="B19" s="775"/>
      <c r="C19" s="775"/>
      <c r="D19" s="775"/>
      <c r="E19" s="775"/>
      <c r="F19" s="775"/>
      <c r="G19" s="775"/>
      <c r="H19" s="775"/>
      <c r="I19" s="775"/>
      <c r="J19" s="775"/>
      <c r="K19" s="775"/>
    </row>
    <row r="20" spans="2:11" ht="12.75">
      <c r="B20" s="953" t="s">
        <v>31</v>
      </c>
      <c r="C20" s="953"/>
      <c r="D20" s="953"/>
      <c r="E20" s="953"/>
      <c r="F20" s="953"/>
      <c r="G20" s="953"/>
      <c r="H20" s="953"/>
      <c r="I20" s="953"/>
      <c r="J20" s="953"/>
      <c r="K20" s="953"/>
    </row>
    <row r="21" spans="2:11" ht="25.5">
      <c r="B21" s="3"/>
      <c r="C21" s="3"/>
      <c r="D21" s="3"/>
      <c r="E21" s="3"/>
      <c r="F21" s="751" t="s">
        <v>433</v>
      </c>
      <c r="G21" s="78"/>
      <c r="H21" s="597" t="s">
        <v>331</v>
      </c>
      <c r="I21" s="76"/>
      <c r="J21" s="76"/>
      <c r="K21" s="76"/>
    </row>
    <row r="22" spans="2:11" ht="12.75">
      <c r="B22" s="942" t="s">
        <v>112</v>
      </c>
      <c r="C22" s="942"/>
      <c r="D22" s="942"/>
      <c r="E22" s="942"/>
      <c r="F22" s="761">
        <v>0.73</v>
      </c>
      <c r="H22" s="10" t="s">
        <v>32</v>
      </c>
      <c r="I22" s="775"/>
      <c r="J22" s="775"/>
      <c r="K22" s="775"/>
    </row>
    <row r="23" spans="2:11" ht="12.75">
      <c r="B23" s="775"/>
      <c r="C23" s="775"/>
      <c r="D23" s="775"/>
      <c r="E23" s="775"/>
      <c r="F23" s="775"/>
      <c r="G23" s="775"/>
      <c r="H23" s="775"/>
      <c r="I23" s="775"/>
      <c r="J23" s="775"/>
      <c r="K23" s="775"/>
    </row>
    <row r="24" spans="2:11" ht="12.75">
      <c r="B24" s="942" t="s">
        <v>113</v>
      </c>
      <c r="C24" s="942"/>
      <c r="D24" s="942"/>
      <c r="E24" s="942"/>
      <c r="F24" s="6">
        <f>ROUND(IF(K18=0,0,+K18-F22),2)</f>
        <v>0</v>
      </c>
      <c r="H24" s="11" t="s">
        <v>32</v>
      </c>
      <c r="I24" s="775"/>
      <c r="J24" s="775"/>
      <c r="K24" s="775"/>
    </row>
    <row r="25" spans="2:11" ht="12.75">
      <c r="B25" s="775"/>
      <c r="C25" s="775"/>
      <c r="D25" s="775"/>
      <c r="E25" s="775"/>
      <c r="F25" s="775"/>
      <c r="G25" s="775"/>
      <c r="H25" s="775"/>
      <c r="I25" s="775"/>
      <c r="J25" s="775"/>
      <c r="K25" s="775"/>
    </row>
    <row r="26" spans="2:8" ht="12.75">
      <c r="B26" s="4" t="s">
        <v>114</v>
      </c>
      <c r="C26" s="4"/>
      <c r="D26" s="4"/>
      <c r="E26" s="6">
        <f>ROUND(IF(F24="","",+F24*0.1),2)</f>
        <v>0</v>
      </c>
      <c r="H26" s="12"/>
    </row>
    <row r="27" spans="2:8" ht="39.75" customHeight="1">
      <c r="B27" s="952" t="s">
        <v>115</v>
      </c>
      <c r="C27" s="952"/>
      <c r="D27" s="952"/>
      <c r="E27" s="6">
        <f>-I111</f>
        <v>0</v>
      </c>
      <c r="F27" s="8"/>
      <c r="H27" s="12"/>
    </row>
    <row r="28" spans="2:11" ht="28.5" customHeight="1">
      <c r="B28" s="927" t="s">
        <v>408</v>
      </c>
      <c r="C28" s="927"/>
      <c r="D28" s="927"/>
      <c r="E28" s="927"/>
      <c r="F28" s="6">
        <f>IF(+E26="",0,+E26+E27)</f>
        <v>0</v>
      </c>
      <c r="G28" s="3"/>
      <c r="H28" s="11" t="s">
        <v>32</v>
      </c>
      <c r="I28" s="3"/>
      <c r="J28" s="3"/>
      <c r="K28" s="3"/>
    </row>
    <row r="29" spans="2:11" ht="28.5" customHeight="1">
      <c r="B29" s="944" t="s">
        <v>116</v>
      </c>
      <c r="C29" s="942"/>
      <c r="D29" s="942"/>
      <c r="E29" s="942"/>
      <c r="F29" s="6">
        <f>ROUND(IF(K18&gt;0,K18-F28,0),2)</f>
        <v>0</v>
      </c>
      <c r="H29" s="6">
        <f>ROUND(IF(K18&gt;0,K18,0),2)</f>
        <v>0</v>
      </c>
      <c r="I29" s="775"/>
      <c r="J29" s="775"/>
      <c r="K29" s="775"/>
    </row>
    <row r="30" spans="2:11" ht="33.75" customHeight="1">
      <c r="B30" s="945" t="s">
        <v>435</v>
      </c>
      <c r="C30" s="946"/>
      <c r="D30" s="946"/>
      <c r="E30" s="946"/>
      <c r="F30" s="6">
        <v>5.31</v>
      </c>
      <c r="G30" s="3"/>
      <c r="H30" s="6">
        <v>6.12</v>
      </c>
      <c r="I30" s="3"/>
      <c r="J30" s="3"/>
      <c r="K30" s="3"/>
    </row>
    <row r="31" spans="2:11" ht="12.75">
      <c r="B31" s="3"/>
      <c r="C31" s="3"/>
      <c r="D31" s="3"/>
      <c r="E31" s="3"/>
      <c r="F31" s="3"/>
      <c r="G31" s="3"/>
      <c r="H31" s="3"/>
      <c r="I31" s="3"/>
      <c r="J31" s="3"/>
      <c r="K31" s="3"/>
    </row>
    <row r="32" spans="2:11" ht="12.75">
      <c r="B32" s="944" t="s">
        <v>333</v>
      </c>
      <c r="C32" s="942"/>
      <c r="D32" s="942"/>
      <c r="E32" s="942"/>
      <c r="F32" s="6">
        <f>ROUND(IF(+F29&gt;0,(IF(F29&gt;F30,F30-F29,0)),0),2)</f>
        <v>0</v>
      </c>
      <c r="H32" s="6">
        <f>ROUND(IF(+H29&gt;0,(IF(H29&gt;H30,H30-H29,0)),0),2)</f>
        <v>0</v>
      </c>
      <c r="I32" s="775"/>
      <c r="J32" s="775"/>
      <c r="K32" s="775"/>
    </row>
    <row r="33" spans="2:11" ht="12.75">
      <c r="B33" s="3"/>
      <c r="C33" s="3"/>
      <c r="D33" s="3"/>
      <c r="E33" s="3"/>
      <c r="F33" s="3"/>
      <c r="G33" s="3"/>
      <c r="H33" s="3"/>
      <c r="I33" s="3"/>
      <c r="J33" s="3"/>
      <c r="K33" s="3"/>
    </row>
    <row r="34" spans="2:11" ht="12.75" customHeight="1">
      <c r="B34" s="947" t="s">
        <v>409</v>
      </c>
      <c r="C34" s="948"/>
      <c r="D34" s="948"/>
      <c r="E34" s="948"/>
      <c r="F34" s="600">
        <f>IF(C112=0,F29,(IF(F30&gt;F29,F29,F30)))</f>
        <v>0</v>
      </c>
      <c r="G34" s="601"/>
      <c r="H34" s="602" t="str">
        <f>IF(C112=0,"NA",(IF(H30&gt;H29,H29,H30)))</f>
        <v>NA</v>
      </c>
      <c r="I34" s="775"/>
      <c r="J34" s="775"/>
      <c r="K34" s="775"/>
    </row>
    <row r="35" spans="9:11" ht="12.75">
      <c r="I35" s="775"/>
      <c r="J35" s="775"/>
      <c r="K35" s="775"/>
    </row>
    <row r="37" ht="13.5" customHeight="1">
      <c r="B37" s="2" t="s">
        <v>117</v>
      </c>
    </row>
    <row r="38" ht="21.75" customHeight="1">
      <c r="C38" s="2" t="s">
        <v>241</v>
      </c>
    </row>
    <row r="39" ht="12.75">
      <c r="C39" s="2" t="s">
        <v>242</v>
      </c>
    </row>
    <row r="41" spans="3:9" ht="40.5" customHeight="1">
      <c r="C41" s="949">
        <f>'Provider Information'!$F$6</f>
        <v>0</v>
      </c>
      <c r="D41" s="950"/>
      <c r="E41" s="950"/>
      <c r="G41" s="951"/>
      <c r="H41" s="951"/>
      <c r="I41" s="951"/>
    </row>
    <row r="42" spans="3:9" ht="12.75">
      <c r="C42" s="934" t="s">
        <v>33</v>
      </c>
      <c r="D42" s="934"/>
      <c r="E42" s="934"/>
      <c r="G42" s="934" t="s">
        <v>34</v>
      </c>
      <c r="H42" s="934"/>
      <c r="I42" s="934"/>
    </row>
    <row r="45" spans="3:9" ht="12.75">
      <c r="C45" s="7"/>
      <c r="D45" s="7"/>
      <c r="E45" s="7"/>
      <c r="G45" s="935"/>
      <c r="H45" s="936"/>
      <c r="I45" s="936"/>
    </row>
    <row r="46" spans="3:9" ht="12.75">
      <c r="C46" s="934" t="s">
        <v>35</v>
      </c>
      <c r="D46" s="934"/>
      <c r="E46" s="934"/>
      <c r="G46" s="934" t="s">
        <v>36</v>
      </c>
      <c r="H46" s="934"/>
      <c r="I46" s="934"/>
    </row>
    <row r="49" spans="3:9" ht="12.75">
      <c r="C49" s="938" t="str">
        <f>'Provider Information'!$D$21</f>
        <v>Area Agency on Aging of Deep East Texas</v>
      </c>
      <c r="D49" s="938"/>
      <c r="E49" s="938"/>
      <c r="G49" s="939" t="str">
        <f>'Provider Information'!$E$26</f>
        <v>Region 5</v>
      </c>
      <c r="H49" s="939"/>
      <c r="I49" s="939"/>
    </row>
    <row r="50" spans="3:9" ht="27" customHeight="1">
      <c r="C50" s="940" t="s">
        <v>37</v>
      </c>
      <c r="D50" s="940"/>
      <c r="E50" s="940"/>
      <c r="G50" s="941" t="s">
        <v>426</v>
      </c>
      <c r="H50" s="940"/>
      <c r="I50" s="940"/>
    </row>
    <row r="51" spans="7:9" ht="12.75">
      <c r="G51" s="937"/>
      <c r="H51" s="775"/>
      <c r="I51" s="775"/>
    </row>
    <row r="53" spans="3:9" ht="15.75" customHeight="1">
      <c r="C53" s="939" t="str">
        <f>'Provider Information'!$D$22</f>
        <v>Tyson Silas</v>
      </c>
      <c r="D53" s="939"/>
      <c r="E53" s="939"/>
      <c r="G53" s="939">
        <f>'Provider Information'!$F$25</f>
        <v>0</v>
      </c>
      <c r="H53" s="939"/>
      <c r="I53" s="939"/>
    </row>
    <row r="54" spans="3:9" ht="12.75">
      <c r="C54" s="934" t="s">
        <v>34</v>
      </c>
      <c r="D54" s="934"/>
      <c r="E54" s="934"/>
      <c r="G54" s="934" t="s">
        <v>34</v>
      </c>
      <c r="H54" s="934"/>
      <c r="I54" s="934"/>
    </row>
    <row r="57" spans="3:9" ht="12.75">
      <c r="C57" s="7"/>
      <c r="D57" s="7"/>
      <c r="E57" s="7"/>
      <c r="G57" s="7"/>
      <c r="H57" s="7"/>
      <c r="I57" s="7"/>
    </row>
    <row r="58" spans="3:9" ht="12.75">
      <c r="C58" s="934" t="s">
        <v>35</v>
      </c>
      <c r="D58" s="934"/>
      <c r="E58" s="934"/>
      <c r="G58" s="934" t="s">
        <v>35</v>
      </c>
      <c r="H58" s="934"/>
      <c r="I58" s="934"/>
    </row>
    <row r="61" spans="3:9" ht="12.75">
      <c r="C61" s="936"/>
      <c r="D61" s="936"/>
      <c r="E61" s="936"/>
      <c r="G61" s="936"/>
      <c r="H61" s="936"/>
      <c r="I61" s="936"/>
    </row>
    <row r="62" spans="3:9" ht="12.75">
      <c r="C62" s="934" t="s">
        <v>36</v>
      </c>
      <c r="D62" s="934"/>
      <c r="E62" s="934"/>
      <c r="G62" s="934" t="s">
        <v>36</v>
      </c>
      <c r="H62" s="934"/>
      <c r="I62" s="934"/>
    </row>
    <row r="102" spans="3:9" ht="12.75">
      <c r="C102" s="943" t="s">
        <v>58</v>
      </c>
      <c r="D102" s="943"/>
      <c r="E102" s="943"/>
      <c r="F102" s="943"/>
      <c r="G102" s="943"/>
      <c r="H102" s="943"/>
      <c r="I102" s="943"/>
    </row>
    <row r="103" spans="3:9" ht="12.75">
      <c r="C103" s="2" t="s">
        <v>59</v>
      </c>
      <c r="I103" s="13">
        <f>+E26</f>
        <v>0</v>
      </c>
    </row>
    <row r="104" spans="3:9" ht="12.75">
      <c r="C104" s="2" t="s">
        <v>73</v>
      </c>
      <c r="I104" s="9">
        <f>IF(D12+F12=0,K14,+D12+F12)</f>
        <v>0</v>
      </c>
    </row>
    <row r="105" spans="3:9" ht="12.75">
      <c r="C105" s="2" t="s">
        <v>60</v>
      </c>
      <c r="D105" s="3"/>
      <c r="I105" s="14">
        <f>+I103*I104</f>
        <v>0</v>
      </c>
    </row>
    <row r="106" spans="3:9" ht="12.75">
      <c r="C106" s="2" t="s">
        <v>61</v>
      </c>
      <c r="I106" s="9">
        <f>+'In-Kind Certification HDM'!G26</f>
        <v>0</v>
      </c>
    </row>
    <row r="107" spans="3:9" ht="12.75">
      <c r="C107" s="2" t="s">
        <v>62</v>
      </c>
      <c r="I107" s="15">
        <f>+I105-I106</f>
        <v>0</v>
      </c>
    </row>
    <row r="108" spans="3:9" ht="12.75">
      <c r="C108" s="2" t="s">
        <v>78</v>
      </c>
      <c r="I108" s="9">
        <f>IF(+D12+F12=0,K14,+D12+F12)</f>
        <v>0</v>
      </c>
    </row>
    <row r="109" spans="3:11" ht="12.75">
      <c r="C109" s="2" t="s">
        <v>64</v>
      </c>
      <c r="I109" s="16">
        <f>IF(I107=0,0,+I107/I108)</f>
        <v>0</v>
      </c>
      <c r="J109" s="3"/>
      <c r="K109" s="3"/>
    </row>
    <row r="110" spans="3:9" ht="12.75">
      <c r="C110" s="2" t="s">
        <v>63</v>
      </c>
      <c r="I110" s="17">
        <f>+E26</f>
        <v>0</v>
      </c>
    </row>
    <row r="111" spans="3:9" ht="12.75">
      <c r="C111" s="2" t="s">
        <v>65</v>
      </c>
      <c r="I111" s="18">
        <f>IF(+I109&lt;=0,+I110,+I110-I109)</f>
        <v>0</v>
      </c>
    </row>
    <row r="112" spans="3:9" ht="12.75">
      <c r="C112" s="2">
        <f>+'Home Delivered Meal Budget'!F89+'Home Delivered Meal Budget'!F90+'Home Delivered Meal Budget'!F91</f>
        <v>0</v>
      </c>
      <c r="I112" s="14"/>
    </row>
    <row r="113" ht="12.75">
      <c r="I113" s="15"/>
    </row>
    <row r="114" ht="12.75">
      <c r="I114" s="15"/>
    </row>
    <row r="115" ht="12.75">
      <c r="I115" s="15"/>
    </row>
    <row r="116" ht="12.75">
      <c r="I116" s="15"/>
    </row>
    <row r="117" ht="12.75">
      <c r="I117" s="15"/>
    </row>
    <row r="118" ht="12.75">
      <c r="I118" s="15"/>
    </row>
  </sheetData>
  <sheetProtection formatCells="0" formatColumns="0" formatRows="0"/>
  <mergeCells count="60">
    <mergeCell ref="B7:K7"/>
    <mergeCell ref="B8:I8"/>
    <mergeCell ref="B12:C12"/>
    <mergeCell ref="I12:K12"/>
    <mergeCell ref="D3:I3"/>
    <mergeCell ref="D4:H4"/>
    <mergeCell ref="B6:K6"/>
    <mergeCell ref="J4:K4"/>
    <mergeCell ref="B9:K9"/>
    <mergeCell ref="B10:K10"/>
    <mergeCell ref="B11:K11"/>
    <mergeCell ref="B5:K5"/>
    <mergeCell ref="B19:K19"/>
    <mergeCell ref="B20:K20"/>
    <mergeCell ref="B13:K13"/>
    <mergeCell ref="B15:K15"/>
    <mergeCell ref="B14:C14"/>
    <mergeCell ref="B18:I18"/>
    <mergeCell ref="B16:K16"/>
    <mergeCell ref="B17:K17"/>
    <mergeCell ref="G53:I53"/>
    <mergeCell ref="C53:E53"/>
    <mergeCell ref="C42:E42"/>
    <mergeCell ref="C41:E41"/>
    <mergeCell ref="G41:I41"/>
    <mergeCell ref="G42:I42"/>
    <mergeCell ref="C54:E54"/>
    <mergeCell ref="G54:I54"/>
    <mergeCell ref="B29:E29"/>
    <mergeCell ref="B32:E32"/>
    <mergeCell ref="I32:K32"/>
    <mergeCell ref="I29:K29"/>
    <mergeCell ref="B30:E30"/>
    <mergeCell ref="I34:K34"/>
    <mergeCell ref="I35:K35"/>
    <mergeCell ref="B34:E34"/>
    <mergeCell ref="C102:I102"/>
    <mergeCell ref="C58:E58"/>
    <mergeCell ref="G58:I58"/>
    <mergeCell ref="C62:E62"/>
    <mergeCell ref="G62:I62"/>
    <mergeCell ref="C61:E61"/>
    <mergeCell ref="G61:I61"/>
    <mergeCell ref="B23:K23"/>
    <mergeCell ref="B25:K25"/>
    <mergeCell ref="B24:E24"/>
    <mergeCell ref="B28:E28"/>
    <mergeCell ref="I24:K24"/>
    <mergeCell ref="I22:K22"/>
    <mergeCell ref="B27:D27"/>
    <mergeCell ref="D2:H2"/>
    <mergeCell ref="C46:E46"/>
    <mergeCell ref="G45:I45"/>
    <mergeCell ref="G51:I51"/>
    <mergeCell ref="C49:E49"/>
    <mergeCell ref="G49:I49"/>
    <mergeCell ref="C50:E50"/>
    <mergeCell ref="G50:I50"/>
    <mergeCell ref="G46:I46"/>
    <mergeCell ref="B22:E22"/>
  </mergeCells>
  <printOptions/>
  <pageMargins left="0.75" right="0.75" top="0.74" bottom="1" header="0.5" footer="0.5"/>
  <pageSetup fitToHeight="1" fitToWidth="1" horizontalDpi="600" verticalDpi="600" orientation="portrait" paperSize="5" scale="74" r:id="rId1"/>
</worksheet>
</file>

<file path=xl/worksheets/sheet8.xml><?xml version="1.0" encoding="utf-8"?>
<worksheet xmlns="http://schemas.openxmlformats.org/spreadsheetml/2006/main" xmlns:r="http://schemas.openxmlformats.org/officeDocument/2006/relationships">
  <sheetPr codeName="Sheet7">
    <tabColor rgb="FF7030A0"/>
    <pageSetUpPr fitToPage="1"/>
  </sheetPr>
  <dimension ref="A1:N51"/>
  <sheetViews>
    <sheetView showGridLines="0" zoomScalePageLayoutView="0" workbookViewId="0" topLeftCell="A1">
      <selection activeCell="L13" sqref="L13"/>
    </sheetView>
  </sheetViews>
  <sheetFormatPr defaultColWidth="9.140625" defaultRowHeight="12.75"/>
  <cols>
    <col min="1" max="1" width="6.140625" style="20" customWidth="1"/>
    <col min="2" max="2" width="11.421875" style="20" customWidth="1"/>
    <col min="3" max="3" width="11.00390625" style="20" customWidth="1"/>
    <col min="4" max="4" width="14.140625" style="20" customWidth="1"/>
    <col min="5" max="5" width="23.7109375" style="20" customWidth="1"/>
    <col min="6" max="6" width="21.28125" style="20" customWidth="1"/>
    <col min="7" max="7" width="23.421875" style="20" customWidth="1"/>
    <col min="8" max="8" width="3.140625" style="20" customWidth="1"/>
    <col min="9" max="16384" width="9.140625" style="20" customWidth="1"/>
  </cols>
  <sheetData>
    <row r="1" spans="2:3" ht="15">
      <c r="B1" s="976">
        <f ca="1">NOW()</f>
        <v>44650.39911342593</v>
      </c>
      <c r="C1" s="976">
        <f ca="1">NOW()</f>
        <v>44650.39911342593</v>
      </c>
    </row>
    <row r="2" spans="3:8" ht="15">
      <c r="C2" s="644" t="s">
        <v>389</v>
      </c>
      <c r="D2" s="816" t="str">
        <f>+'Provider Information'!D21</f>
        <v>Area Agency on Aging of Deep East Texas</v>
      </c>
      <c r="E2" s="816"/>
      <c r="F2" s="816"/>
      <c r="G2" s="816"/>
      <c r="H2" s="724"/>
    </row>
    <row r="3" spans="3:8" ht="15">
      <c r="C3" s="722" t="s">
        <v>390</v>
      </c>
      <c r="D3" s="815" t="str">
        <f>+'Provider Information'!E26</f>
        <v>Region 5</v>
      </c>
      <c r="E3" s="815"/>
      <c r="F3" s="815"/>
      <c r="G3" s="815"/>
      <c r="H3" s="680"/>
    </row>
    <row r="4" spans="1:8" ht="18.75">
      <c r="A4" s="201"/>
      <c r="B4" s="987" t="s">
        <v>247</v>
      </c>
      <c r="C4" s="987"/>
      <c r="D4" s="987"/>
      <c r="E4" s="987"/>
      <c r="F4" s="987"/>
      <c r="G4" s="987"/>
      <c r="H4" s="201"/>
    </row>
    <row r="5" spans="1:8" ht="15">
      <c r="A5" s="988" t="s">
        <v>40</v>
      </c>
      <c r="B5" s="988"/>
      <c r="C5" s="988"/>
      <c r="D5" s="988"/>
      <c r="E5" s="988"/>
      <c r="F5" s="988"/>
      <c r="G5" s="988"/>
      <c r="H5" s="988"/>
    </row>
    <row r="6" spans="2:5" ht="27.75" customHeight="1">
      <c r="B6" s="20" t="s">
        <v>41</v>
      </c>
      <c r="C6" s="989">
        <f>IF(ISBLANK('Provider Information'!F6),"",+'Provider Information'!F6)</f>
      </c>
      <c r="D6" s="990"/>
      <c r="E6" s="990"/>
    </row>
    <row r="8" spans="2:7" ht="15">
      <c r="B8" s="967" t="s">
        <v>42</v>
      </c>
      <c r="C8" s="967"/>
      <c r="D8" s="977">
        <f>+G26</f>
        <v>0</v>
      </c>
      <c r="E8" s="978"/>
      <c r="F8" s="202"/>
      <c r="G8" s="203"/>
    </row>
    <row r="10" spans="2:7" ht="15">
      <c r="B10" s="963" t="s">
        <v>449</v>
      </c>
      <c r="C10" s="963"/>
      <c r="D10" s="963"/>
      <c r="E10" s="963"/>
      <c r="F10" s="963"/>
      <c r="G10" s="963"/>
    </row>
    <row r="11" ht="15.75" thickBot="1"/>
    <row r="12" spans="2:7" ht="15.75" thickTop="1">
      <c r="B12" s="22"/>
      <c r="C12" s="23"/>
      <c r="D12" s="23"/>
      <c r="E12" s="24"/>
      <c r="F12" s="25"/>
      <c r="G12" s="26"/>
    </row>
    <row r="13" spans="2:7" ht="15">
      <c r="B13" s="981" t="s">
        <v>43</v>
      </c>
      <c r="C13" s="982"/>
      <c r="D13" s="982"/>
      <c r="E13" s="983"/>
      <c r="F13" s="748" t="s">
        <v>44</v>
      </c>
      <c r="G13" s="28" t="s">
        <v>75</v>
      </c>
    </row>
    <row r="14" spans="2:7" ht="18" customHeight="1">
      <c r="B14" s="984"/>
      <c r="C14" s="985"/>
      <c r="D14" s="985"/>
      <c r="E14" s="986"/>
      <c r="F14" s="47"/>
      <c r="G14" s="44"/>
    </row>
    <row r="15" spans="2:7" ht="18" customHeight="1">
      <c r="B15" s="970"/>
      <c r="C15" s="971"/>
      <c r="D15" s="971"/>
      <c r="E15" s="972"/>
      <c r="F15" s="43"/>
      <c r="G15" s="44"/>
    </row>
    <row r="16" spans="2:7" ht="18" customHeight="1">
      <c r="B16" s="970"/>
      <c r="C16" s="971"/>
      <c r="D16" s="971"/>
      <c r="E16" s="972"/>
      <c r="F16" s="43"/>
      <c r="G16" s="44"/>
    </row>
    <row r="17" spans="2:7" ht="18" customHeight="1">
      <c r="B17" s="970"/>
      <c r="C17" s="971"/>
      <c r="D17" s="971"/>
      <c r="E17" s="972"/>
      <c r="F17" s="43"/>
      <c r="G17" s="44"/>
    </row>
    <row r="18" spans="2:7" ht="18" customHeight="1">
      <c r="B18" s="970"/>
      <c r="C18" s="971"/>
      <c r="D18" s="971"/>
      <c r="E18" s="972"/>
      <c r="F18" s="43"/>
      <c r="G18" s="44"/>
    </row>
    <row r="19" spans="2:7" ht="18" customHeight="1">
      <c r="B19" s="970"/>
      <c r="C19" s="971"/>
      <c r="D19" s="971"/>
      <c r="E19" s="972"/>
      <c r="F19" s="43"/>
      <c r="G19" s="44"/>
    </row>
    <row r="20" spans="2:7" ht="18" customHeight="1">
      <c r="B20" s="970"/>
      <c r="C20" s="971"/>
      <c r="D20" s="971"/>
      <c r="E20" s="972"/>
      <c r="F20" s="43"/>
      <c r="G20" s="44"/>
    </row>
    <row r="21" spans="2:10" ht="18" customHeight="1">
      <c r="B21" s="970"/>
      <c r="C21" s="971"/>
      <c r="D21" s="971"/>
      <c r="E21" s="972"/>
      <c r="F21" s="43"/>
      <c r="G21" s="44"/>
      <c r="J21" s="29"/>
    </row>
    <row r="22" spans="2:7" ht="18" customHeight="1">
      <c r="B22" s="970"/>
      <c r="C22" s="979"/>
      <c r="D22" s="979"/>
      <c r="E22" s="980"/>
      <c r="F22" s="43"/>
      <c r="G22" s="44"/>
    </row>
    <row r="23" spans="2:7" ht="18" customHeight="1">
      <c r="B23" s="970"/>
      <c r="C23" s="971"/>
      <c r="D23" s="971"/>
      <c r="E23" s="972"/>
      <c r="F23" s="43"/>
      <c r="G23" s="44"/>
    </row>
    <row r="24" spans="2:7" ht="18" customHeight="1">
      <c r="B24" s="970"/>
      <c r="C24" s="971"/>
      <c r="D24" s="971"/>
      <c r="E24" s="972"/>
      <c r="F24" s="43"/>
      <c r="G24" s="44"/>
    </row>
    <row r="25" spans="2:7" ht="18" customHeight="1">
      <c r="B25" s="970"/>
      <c r="C25" s="971"/>
      <c r="D25" s="971"/>
      <c r="E25" s="972"/>
      <c r="F25" s="43"/>
      <c r="G25" s="44"/>
    </row>
    <row r="26" spans="2:7" ht="18" customHeight="1" thickBot="1">
      <c r="B26" s="973"/>
      <c r="C26" s="974"/>
      <c r="D26" s="974"/>
      <c r="E26" s="975"/>
      <c r="F26" s="30" t="s">
        <v>45</v>
      </c>
      <c r="G26" s="31">
        <f>SUM(G14:G25)</f>
        <v>0</v>
      </c>
    </row>
    <row r="27" ht="15.75" thickTop="1"/>
    <row r="28" spans="2:7" ht="28.5" customHeight="1">
      <c r="B28" s="32" t="s">
        <v>46</v>
      </c>
      <c r="C28" s="968" t="s">
        <v>47</v>
      </c>
      <c r="D28" s="969"/>
      <c r="E28" s="969"/>
      <c r="F28" s="969"/>
      <c r="G28" s="29"/>
    </row>
    <row r="30" ht="15">
      <c r="B30" s="20" t="s">
        <v>48</v>
      </c>
    </row>
    <row r="32" spans="2:4" ht="15">
      <c r="B32" s="20" t="s">
        <v>49</v>
      </c>
      <c r="C32" s="34" t="s">
        <v>0</v>
      </c>
      <c r="D32" s="20" t="s">
        <v>50</v>
      </c>
    </row>
    <row r="33" spans="3:8" ht="29.25" customHeight="1">
      <c r="C33" s="35" t="s">
        <v>2</v>
      </c>
      <c r="D33" s="968" t="s">
        <v>76</v>
      </c>
      <c r="E33" s="968"/>
      <c r="F33" s="968"/>
      <c r="G33" s="968"/>
      <c r="H33" s="33"/>
    </row>
    <row r="35" spans="2:14" ht="15">
      <c r="B35" s="20" t="s">
        <v>51</v>
      </c>
      <c r="C35" s="34" t="s">
        <v>0</v>
      </c>
      <c r="D35" s="20" t="s">
        <v>52</v>
      </c>
      <c r="J35" s="968"/>
      <c r="K35" s="968"/>
      <c r="L35" s="968"/>
      <c r="M35" s="968"/>
      <c r="N35" s="968"/>
    </row>
    <row r="36" spans="3:7" ht="29.25" customHeight="1">
      <c r="C36" s="35" t="s">
        <v>2</v>
      </c>
      <c r="D36" s="968" t="s">
        <v>110</v>
      </c>
      <c r="E36" s="969"/>
      <c r="F36" s="969"/>
      <c r="G36" s="969"/>
    </row>
    <row r="37" spans="3:7" ht="15">
      <c r="C37" s="36"/>
      <c r="D37" s="37"/>
      <c r="E37" s="37"/>
      <c r="F37" s="37"/>
      <c r="G37" s="37"/>
    </row>
    <row r="38" spans="3:6" ht="15">
      <c r="C38" s="36"/>
      <c r="F38" s="21"/>
    </row>
    <row r="39" ht="15">
      <c r="B39" s="38" t="s">
        <v>77</v>
      </c>
    </row>
    <row r="40" ht="15">
      <c r="B40" s="38" t="s">
        <v>53</v>
      </c>
    </row>
    <row r="42" spans="2:4" ht="15">
      <c r="B42" s="20" t="s">
        <v>54</v>
      </c>
      <c r="C42" s="34" t="s">
        <v>0</v>
      </c>
      <c r="D42" s="20" t="s">
        <v>55</v>
      </c>
    </row>
    <row r="43" spans="3:4" ht="15">
      <c r="C43" s="34" t="s">
        <v>2</v>
      </c>
      <c r="D43" s="37" t="s">
        <v>56</v>
      </c>
    </row>
    <row r="45" spans="2:9" ht="43.5" customHeight="1">
      <c r="B45" s="962">
        <f>IF(ISBLANK('Provider Total Budget by Serv'!C2),"",'Provider Total Budget by Serv'!C2)</f>
      </c>
      <c r="C45" s="962"/>
      <c r="D45" s="962"/>
      <c r="E45" s="40"/>
      <c r="F45" s="961"/>
      <c r="G45" s="961"/>
      <c r="I45" s="40"/>
    </row>
    <row r="46" spans="1:9" ht="15">
      <c r="A46" s="37"/>
      <c r="B46" s="965" t="s">
        <v>57</v>
      </c>
      <c r="C46" s="965"/>
      <c r="D46" s="965"/>
      <c r="E46" s="41"/>
      <c r="F46" s="964" t="s">
        <v>34</v>
      </c>
      <c r="G46" s="964"/>
      <c r="I46" s="42"/>
    </row>
    <row r="48" spans="2:9" ht="15">
      <c r="B48" s="966"/>
      <c r="C48" s="966"/>
      <c r="D48" s="966"/>
      <c r="E48" s="40"/>
      <c r="F48" s="39"/>
      <c r="G48" s="39"/>
      <c r="I48" s="40"/>
    </row>
    <row r="49" spans="2:9" ht="15">
      <c r="B49" s="964" t="s">
        <v>36</v>
      </c>
      <c r="C49" s="965"/>
      <c r="D49" s="965"/>
      <c r="E49" s="21"/>
      <c r="F49" s="964" t="s">
        <v>35</v>
      </c>
      <c r="G49" s="964"/>
      <c r="I49" s="19"/>
    </row>
    <row r="50" spans="2:9" ht="15">
      <c r="B50" s="21"/>
      <c r="C50" s="21"/>
      <c r="D50" s="21"/>
      <c r="E50" s="21"/>
      <c r="G50" s="19"/>
      <c r="H50" s="19"/>
      <c r="I50" s="19"/>
    </row>
    <row r="51" spans="2:8" ht="15">
      <c r="B51" s="963"/>
      <c r="C51" s="963"/>
      <c r="D51" s="963"/>
      <c r="E51" s="963"/>
      <c r="F51" s="963"/>
      <c r="G51" s="963"/>
      <c r="H51" s="963"/>
    </row>
  </sheetData>
  <sheetProtection sheet="1" formatCells="0" formatColumns="0" formatRows="0"/>
  <mergeCells count="35">
    <mergeCell ref="B10:G10"/>
    <mergeCell ref="B13:E13"/>
    <mergeCell ref="B14:E14"/>
    <mergeCell ref="B21:E21"/>
    <mergeCell ref="B4:G4"/>
    <mergeCell ref="A5:H5"/>
    <mergeCell ref="C6:E6"/>
    <mergeCell ref="B20:E20"/>
    <mergeCell ref="B1:C1"/>
    <mergeCell ref="D2:G2"/>
    <mergeCell ref="D3:G3"/>
    <mergeCell ref="D8:E8"/>
    <mergeCell ref="B22:E22"/>
    <mergeCell ref="B15:E15"/>
    <mergeCell ref="B16:E16"/>
    <mergeCell ref="B17:E17"/>
    <mergeCell ref="B18:E18"/>
    <mergeCell ref="B8:C8"/>
    <mergeCell ref="J35:N35"/>
    <mergeCell ref="D36:G36"/>
    <mergeCell ref="B23:E23"/>
    <mergeCell ref="B24:E24"/>
    <mergeCell ref="B25:E25"/>
    <mergeCell ref="B26:E26"/>
    <mergeCell ref="C28:F28"/>
    <mergeCell ref="D33:G33"/>
    <mergeCell ref="B19:E19"/>
    <mergeCell ref="F45:G45"/>
    <mergeCell ref="B45:D45"/>
    <mergeCell ref="B51:H51"/>
    <mergeCell ref="B49:D49"/>
    <mergeCell ref="F49:G49"/>
    <mergeCell ref="B46:D46"/>
    <mergeCell ref="F46:G46"/>
    <mergeCell ref="B48:D48"/>
  </mergeCells>
  <dataValidations count="2">
    <dataValidation type="decimal" allowBlank="1" showInputMessage="1" showErrorMessage="1" sqref="G14:G25">
      <formula1>0</formula1>
      <formula2>15000000</formula2>
    </dataValidation>
    <dataValidation operator="greaterThan" allowBlank="1" showInputMessage="1" showErrorMessage="1" sqref="F14:F25"/>
  </dataValidations>
  <hyperlinks>
    <hyperlink ref="C28" r:id="rId1" display="http://www.irs.gov/pub/irs-pdf/p561.pdf"/>
  </hyperlinks>
  <printOptions/>
  <pageMargins left="0.5" right="0.5" top="1" bottom="1" header="0.5" footer="0.5"/>
  <pageSetup fitToHeight="1" fitToWidth="1" horizontalDpi="600" verticalDpi="600" orientation="portrait" paperSize="5" scale="85" r:id="rId2"/>
</worksheet>
</file>

<file path=xl/worksheets/sheet9.xml><?xml version="1.0" encoding="utf-8"?>
<worksheet xmlns="http://schemas.openxmlformats.org/spreadsheetml/2006/main" xmlns:r="http://schemas.openxmlformats.org/officeDocument/2006/relationships">
  <sheetPr codeName="Sheet4">
    <tabColor rgb="FF00B050"/>
    <pageSetUpPr fitToPage="1"/>
  </sheetPr>
  <dimension ref="A1:AA106"/>
  <sheetViews>
    <sheetView zoomScale="55" zoomScaleNormal="55" zoomScalePageLayoutView="0" workbookViewId="0" topLeftCell="A1">
      <selection activeCell="C6" sqref="C6:C7"/>
    </sheetView>
  </sheetViews>
  <sheetFormatPr defaultColWidth="9.140625" defaultRowHeight="12.75"/>
  <cols>
    <col min="1" max="1" width="3.57421875" style="316" customWidth="1"/>
    <col min="2" max="2" width="34.8515625" style="316" customWidth="1"/>
    <col min="3" max="3" width="11.7109375" style="461" customWidth="1"/>
    <col min="4" max="4" width="11.7109375" style="462" customWidth="1"/>
    <col min="5" max="5" width="12.140625" style="288" customWidth="1"/>
    <col min="6" max="6" width="11.7109375" style="457" customWidth="1"/>
    <col min="7" max="7" width="11.7109375" style="459" customWidth="1"/>
    <col min="8" max="8" width="3.421875" style="320" customWidth="1"/>
    <col min="9" max="9" width="17.8515625" style="461" customWidth="1"/>
    <col min="10" max="10" width="17.8515625" style="288" customWidth="1"/>
    <col min="11" max="11" width="17.8515625" style="463" customWidth="1"/>
    <col min="12" max="12" width="3.421875" style="320" customWidth="1"/>
    <col min="13" max="13" width="20.00390625" style="320" customWidth="1"/>
    <col min="14" max="14" width="46.421875" style="320" customWidth="1"/>
    <col min="15" max="15" width="11.140625" style="320" customWidth="1"/>
    <col min="16" max="16" width="4.57421875" style="288" customWidth="1"/>
    <col min="17" max="19" width="15.7109375" style="288" customWidth="1"/>
    <col min="20" max="16384" width="9.140625" style="288" customWidth="1"/>
  </cols>
  <sheetData>
    <row r="1" spans="1:16" ht="18">
      <c r="A1" s="523"/>
      <c r="B1" s="779" t="s">
        <v>306</v>
      </c>
      <c r="C1" s="779"/>
      <c r="D1" s="779"/>
      <c r="E1" s="779"/>
      <c r="F1" s="779"/>
      <c r="G1" s="779"/>
      <c r="H1" s="779"/>
      <c r="I1" s="779"/>
      <c r="J1" s="779"/>
      <c r="K1" s="779"/>
      <c r="L1" s="779"/>
      <c r="M1" s="779"/>
      <c r="N1" s="779"/>
      <c r="O1" s="779"/>
      <c r="P1" s="523"/>
    </row>
    <row r="2" spans="1:27" ht="12.75" customHeight="1">
      <c r="A2" s="217"/>
      <c r="B2" s="646" t="s">
        <v>26</v>
      </c>
      <c r="C2" s="903">
        <f>'Provider Information'!$F$6</f>
        <v>0</v>
      </c>
      <c r="D2" s="903"/>
      <c r="E2" s="903"/>
      <c r="F2" s="903"/>
      <c r="G2" s="904"/>
      <c r="H2" s="493"/>
      <c r="I2" s="1014" t="s">
        <v>256</v>
      </c>
      <c r="J2" s="1015"/>
      <c r="K2" s="1015"/>
      <c r="L2" s="1015"/>
      <c r="M2" s="1015"/>
      <c r="N2" s="1015"/>
      <c r="O2" s="1016"/>
      <c r="P2" s="225"/>
      <c r="AA2" s="719"/>
    </row>
    <row r="3" spans="1:16" ht="12.75" customHeight="1">
      <c r="A3" s="217"/>
      <c r="B3" s="644" t="s">
        <v>389</v>
      </c>
      <c r="C3" s="817" t="str">
        <f>+'Provider Information'!D21</f>
        <v>Area Agency on Aging of Deep East Texas</v>
      </c>
      <c r="D3" s="817"/>
      <c r="E3" s="817"/>
      <c r="F3" s="817"/>
      <c r="G3" s="905"/>
      <c r="H3" s="494"/>
      <c r="I3" s="1017"/>
      <c r="J3" s="1018"/>
      <c r="K3" s="1018"/>
      <c r="L3" s="1018"/>
      <c r="M3" s="1018"/>
      <c r="N3" s="1018"/>
      <c r="O3" s="1019"/>
      <c r="P3" s="225"/>
    </row>
    <row r="4" spans="1:16" ht="12.75" customHeight="1">
      <c r="A4" s="218"/>
      <c r="B4" s="648"/>
      <c r="C4" s="906"/>
      <c r="D4" s="906"/>
      <c r="E4" s="906"/>
      <c r="F4" s="906"/>
      <c r="G4" s="907"/>
      <c r="H4" s="495"/>
      <c r="I4" s="1020"/>
      <c r="J4" s="1021"/>
      <c r="K4" s="1021"/>
      <c r="L4" s="1021"/>
      <c r="M4" s="1021"/>
      <c r="N4" s="1021"/>
      <c r="O4" s="1022"/>
      <c r="P4" s="225"/>
    </row>
    <row r="5" spans="1:16" ht="12.75">
      <c r="A5" s="211"/>
      <c r="B5" s="496"/>
      <c r="C5" s="1030">
        <f ca="1">NOW()</f>
        <v>44650.39911342593</v>
      </c>
      <c r="D5" s="1030"/>
      <c r="E5" s="1030"/>
      <c r="F5" s="1030"/>
      <c r="G5" s="1031"/>
      <c r="H5" s="497"/>
      <c r="I5" s="880" t="s">
        <v>5</v>
      </c>
      <c r="J5" s="880"/>
      <c r="K5" s="880"/>
      <c r="L5" s="497"/>
      <c r="M5" s="1023"/>
      <c r="N5" s="1024"/>
      <c r="O5" s="1024"/>
      <c r="P5" s="212"/>
    </row>
    <row r="6" spans="1:16" ht="18" customHeight="1">
      <c r="A6" s="219"/>
      <c r="B6" s="853" t="s">
        <v>328</v>
      </c>
      <c r="C6" s="997">
        <v>2019</v>
      </c>
      <c r="D6" s="999"/>
      <c r="E6" s="999"/>
      <c r="F6" s="999"/>
      <c r="G6" s="1000"/>
      <c r="H6" s="370"/>
      <c r="I6" s="881" t="s">
        <v>258</v>
      </c>
      <c r="J6" s="882"/>
      <c r="K6" s="882"/>
      <c r="L6" s="370"/>
      <c r="M6" s="1025" t="s">
        <v>259</v>
      </c>
      <c r="N6" s="1026"/>
      <c r="O6" s="1026"/>
      <c r="P6" s="225"/>
    </row>
    <row r="7" spans="1:16" ht="18">
      <c r="A7" s="219"/>
      <c r="B7" s="854"/>
      <c r="C7" s="998"/>
      <c r="D7" s="1001"/>
      <c r="E7" s="1001"/>
      <c r="F7" s="1001"/>
      <c r="G7" s="1002"/>
      <c r="H7" s="371"/>
      <c r="I7" s="883"/>
      <c r="J7" s="884"/>
      <c r="K7" s="884"/>
      <c r="L7" s="371"/>
      <c r="M7" s="1025"/>
      <c r="N7" s="1026"/>
      <c r="O7" s="1026"/>
      <c r="P7" s="225"/>
    </row>
    <row r="8" spans="1:16" ht="12.75">
      <c r="A8" s="213"/>
      <c r="B8" s="367"/>
      <c r="C8" s="880"/>
      <c r="D8" s="880"/>
      <c r="E8" s="880"/>
      <c r="F8" s="880"/>
      <c r="G8" s="880"/>
      <c r="H8" s="372"/>
      <c r="I8" s="498"/>
      <c r="J8" s="374"/>
      <c r="K8" s="499"/>
      <c r="L8" s="372"/>
      <c r="M8" s="794"/>
      <c r="N8" s="795"/>
      <c r="O8" s="795"/>
      <c r="P8" s="214"/>
    </row>
    <row r="9" spans="1:16" s="377" customFormat="1" ht="12.75" customHeight="1">
      <c r="A9" s="220"/>
      <c r="B9" s="887" t="s">
        <v>204</v>
      </c>
      <c r="C9" s="900" t="s">
        <v>257</v>
      </c>
      <c r="D9" s="898" t="s">
        <v>251</v>
      </c>
      <c r="E9" s="900" t="s">
        <v>252</v>
      </c>
      <c r="F9" s="901" t="s">
        <v>253</v>
      </c>
      <c r="G9" s="894" t="s">
        <v>254</v>
      </c>
      <c r="H9" s="376"/>
      <c r="I9" s="1011" t="s">
        <v>255</v>
      </c>
      <c r="J9" s="851" t="s">
        <v>260</v>
      </c>
      <c r="K9" s="894" t="s">
        <v>254</v>
      </c>
      <c r="L9" s="376"/>
      <c r="M9" s="885" t="s">
        <v>453</v>
      </c>
      <c r="N9" s="886"/>
      <c r="O9" s="755">
        <v>0.01009</v>
      </c>
      <c r="P9" s="226"/>
    </row>
    <row r="10" spans="1:16" s="377" customFormat="1" ht="12.75" customHeight="1">
      <c r="A10" s="220"/>
      <c r="B10" s="888"/>
      <c r="C10" s="897"/>
      <c r="D10" s="899"/>
      <c r="E10" s="897"/>
      <c r="F10" s="902"/>
      <c r="G10" s="895"/>
      <c r="H10" s="376"/>
      <c r="I10" s="1012"/>
      <c r="J10" s="852"/>
      <c r="K10" s="895"/>
      <c r="L10" s="376"/>
      <c r="M10" s="885" t="s">
        <v>456</v>
      </c>
      <c r="N10" s="886"/>
      <c r="O10" s="755">
        <v>0.01018</v>
      </c>
      <c r="P10" s="226"/>
    </row>
    <row r="11" spans="1:16" s="377" customFormat="1" ht="12.75" customHeight="1">
      <c r="A11" s="220"/>
      <c r="B11" s="888"/>
      <c r="C11" s="897"/>
      <c r="D11" s="899"/>
      <c r="E11" s="897"/>
      <c r="F11" s="902"/>
      <c r="G11" s="895"/>
      <c r="H11" s="376"/>
      <c r="I11" s="1012"/>
      <c r="J11" s="852"/>
      <c r="K11" s="895"/>
      <c r="L11" s="376"/>
      <c r="M11" s="885" t="s">
        <v>305</v>
      </c>
      <c r="N11" s="886"/>
      <c r="O11" s="752">
        <f>SUM(O9:O10)</f>
        <v>0.02027</v>
      </c>
      <c r="P11" s="226"/>
    </row>
    <row r="12" spans="1:16" s="377" customFormat="1" ht="89.25" customHeight="1">
      <c r="A12" s="220"/>
      <c r="B12" s="1003"/>
      <c r="C12" s="1004"/>
      <c r="D12" s="1005"/>
      <c r="E12" s="1004"/>
      <c r="F12" s="1032"/>
      <c r="G12" s="1028"/>
      <c r="H12" s="376"/>
      <c r="I12" s="1013"/>
      <c r="J12" s="1027"/>
      <c r="K12" s="1028"/>
      <c r="L12" s="376"/>
      <c r="M12" s="872" t="s">
        <v>417</v>
      </c>
      <c r="N12" s="1029"/>
      <c r="O12" s="873"/>
      <c r="P12" s="226"/>
    </row>
    <row r="13" spans="1:16" s="304" customFormat="1" ht="12.75">
      <c r="A13" s="215"/>
      <c r="B13" s="867" t="s">
        <v>231</v>
      </c>
      <c r="C13" s="874"/>
      <c r="D13" s="874"/>
      <c r="E13" s="874"/>
      <c r="F13" s="874"/>
      <c r="G13" s="874"/>
      <c r="H13" s="378"/>
      <c r="I13" s="500"/>
      <c r="J13" s="380"/>
      <c r="K13" s="501"/>
      <c r="L13" s="378"/>
      <c r="M13" s="382"/>
      <c r="N13" s="383"/>
      <c r="O13" s="383"/>
      <c r="P13" s="227"/>
    </row>
    <row r="14" spans="1:16" s="88" customFormat="1" ht="12.75">
      <c r="A14" s="221"/>
      <c r="B14" s="109" t="s">
        <v>205</v>
      </c>
      <c r="C14" s="82"/>
      <c r="D14" s="384"/>
      <c r="E14" s="123">
        <f>+D14-C14</f>
        <v>0</v>
      </c>
      <c r="F14" s="385">
        <f>IF(+C14+D14=0,0,(IF(AND(+C14=0,D14&gt;0),1,(IF(AND(+C14&gt;0,D14=0),-1,+C14/+D14-1)))))</f>
        <v>0</v>
      </c>
      <c r="G14" s="186"/>
      <c r="H14" s="386"/>
      <c r="I14" s="230">
        <f>+'Provider Total Budget by Serv'!G17+'Provider Total Budget by Serv'!G29</f>
        <v>0</v>
      </c>
      <c r="J14" s="388">
        <f>IF(I14+C14=0,0,(IF(AND(I14=0,C14&gt;0),-1,(IF(AND(I14&gt;0,C14=0),1,+I14/C14-1)))))</f>
        <v>0</v>
      </c>
      <c r="K14" s="265"/>
      <c r="L14" s="386"/>
      <c r="M14" s="994"/>
      <c r="N14" s="994"/>
      <c r="O14" s="995"/>
      <c r="P14" s="216"/>
    </row>
    <row r="15" spans="1:16" s="88" customFormat="1" ht="12.75">
      <c r="A15" s="222"/>
      <c r="B15" s="110" t="s">
        <v>206</v>
      </c>
      <c r="C15" s="84"/>
      <c r="D15" s="390"/>
      <c r="E15" s="391">
        <f>+D15-C15</f>
        <v>0</v>
      </c>
      <c r="F15" s="392">
        <f>IF(+C15+D15=0,0,(IF(AND(+C15=0,D15&gt;0),1,(IF(AND(+C15&gt;0,D15=0),-1,+C15/+D15-1)))))</f>
        <v>0</v>
      </c>
      <c r="G15" s="185"/>
      <c r="H15" s="358"/>
      <c r="I15" s="205">
        <f>+'Provider Total Budget by Serv'!G36</f>
        <v>0</v>
      </c>
      <c r="J15" s="185">
        <f>IF(I15+C15=0,0,(IF(AND(I15=0,C15&gt;0),-1,(IF(AND(I15&gt;0,C15=0),1,+I15/C15-1)))))</f>
        <v>0</v>
      </c>
      <c r="K15" s="266"/>
      <c r="L15" s="358"/>
      <c r="M15" s="994">
        <f>+'Home Delivered Meal Budget'!M17</f>
        <v>0</v>
      </c>
      <c r="N15" s="994"/>
      <c r="O15" s="995"/>
      <c r="P15" s="216"/>
    </row>
    <row r="16" spans="1:16" s="88" customFormat="1" ht="12.75">
      <c r="A16" s="222"/>
      <c r="B16" s="110" t="s">
        <v>1</v>
      </c>
      <c r="C16" s="90">
        <f>SUM(C14:C15)</f>
        <v>0</v>
      </c>
      <c r="D16" s="393">
        <f>SUM(D14:D15)</f>
        <v>0</v>
      </c>
      <c r="E16" s="123">
        <f>+D16-C16</f>
        <v>0</v>
      </c>
      <c r="F16" s="394">
        <f>IF(+C16+D16=0,0,(IF(AND(+C16=0,D16&gt;0),1,(IF(AND(+C16&gt;0,D16=0),-1,+C16/+D16-1)))))</f>
        <v>0</v>
      </c>
      <c r="G16" s="395">
        <f>IF(AND(C16&gt;0,C$80&gt;0),+C16/C$80,0)</f>
        <v>0</v>
      </c>
      <c r="H16" s="358"/>
      <c r="I16" s="206">
        <f>SUM(I14:I15)</f>
        <v>0</v>
      </c>
      <c r="J16" s="185">
        <f>IF(I16+C16=0,0,(IF(AND(I16=0,C16&gt;0),-1,(IF(AND(I16&gt;0,C16=0),1,+I16/C16-1)))))</f>
        <v>0</v>
      </c>
      <c r="K16" s="396" t="e">
        <f>IF(AND(I16&gt;0,I$80&gt;0),+I16/I$80,0)</f>
        <v>#DIV/0!</v>
      </c>
      <c r="L16" s="358"/>
      <c r="M16" s="994">
        <f>+'Home Delivered Meal Budget'!M18</f>
        <v>0</v>
      </c>
      <c r="N16" s="994"/>
      <c r="O16" s="995"/>
      <c r="P16" s="216"/>
    </row>
    <row r="17" spans="1:16" s="88" customFormat="1" ht="12.75">
      <c r="A17" s="223"/>
      <c r="B17" s="781" t="s">
        <v>238</v>
      </c>
      <c r="C17" s="781"/>
      <c r="D17" s="781"/>
      <c r="E17" s="781"/>
      <c r="F17" s="781"/>
      <c r="G17" s="867"/>
      <c r="H17" s="241"/>
      <c r="I17" s="502"/>
      <c r="J17" s="398"/>
      <c r="K17" s="503"/>
      <c r="L17" s="306"/>
      <c r="M17" s="676"/>
      <c r="N17" s="676"/>
      <c r="O17" s="676"/>
      <c r="P17" s="216"/>
    </row>
    <row r="18" spans="1:16" s="88" customFormat="1" ht="12.75">
      <c r="A18" s="221"/>
      <c r="B18" s="108" t="s">
        <v>205</v>
      </c>
      <c r="C18" s="82"/>
      <c r="D18" s="401"/>
      <c r="E18" s="123">
        <f>+D18-C18</f>
        <v>0</v>
      </c>
      <c r="F18" s="385">
        <f>IF(+C18+D18=0,0,(IF(AND(+C18=0,D18&gt;0),1,(IF(AND(+C18&gt;0,D18=0),-1,+C18/+D18-1)))))</f>
        <v>0</v>
      </c>
      <c r="G18" s="402"/>
      <c r="H18" s="241"/>
      <c r="I18" s="649" t="e">
        <f>IF('Provider Total Budget by Serv'!E$300="N",0,(+'Provider Total Budget by Serv'!E17+'Provider Total Budget by Serv'!E29)*'Provider Total Budget by Serv'!D$304)</f>
        <v>#DIV/0!</v>
      </c>
      <c r="J18" s="609" t="e">
        <f>IF(I18+C18=0,0,(IF(AND(I18=0,C18&gt;0),-1,(IF(AND(I18&gt;0,C18=0),1,+I18/C18-1)))))</f>
        <v>#DIV/0!</v>
      </c>
      <c r="K18" s="264"/>
      <c r="L18" s="358"/>
      <c r="M18" s="994"/>
      <c r="N18" s="994"/>
      <c r="O18" s="995"/>
      <c r="P18" s="216"/>
    </row>
    <row r="19" spans="1:16" s="88" customFormat="1" ht="12.75">
      <c r="A19" s="222"/>
      <c r="B19" s="109" t="s">
        <v>206</v>
      </c>
      <c r="C19" s="83"/>
      <c r="D19" s="403"/>
      <c r="E19" s="123">
        <f>+D19-C19</f>
        <v>0</v>
      </c>
      <c r="F19" s="385">
        <f>IF(+C19+D19=0,0,(IF(AND(+C19=0,D19&gt;0),1,(IF(AND(+C19&gt;0,D19=0),-1,+C19/+D19-1)))))</f>
        <v>0</v>
      </c>
      <c r="G19" s="187"/>
      <c r="H19" s="241"/>
      <c r="I19" s="650" t="e">
        <f>IF('Provider Total Budget by Serv'!E$300="N",0,(+'Provider Total Budget by Serv'!E36*'Provider Total Budget by Serv'!D$304))</f>
        <v>#DIV/0!</v>
      </c>
      <c r="J19" s="210" t="e">
        <f>IF(I19+C19=0,0,(IF(AND(I19=0,C19&gt;0),-1,(IF(AND(I19&gt;0,C19=0),1,+I19/C19-1)))))</f>
        <v>#DIV/0!</v>
      </c>
      <c r="K19" s="265"/>
      <c r="L19" s="358"/>
      <c r="M19" s="994"/>
      <c r="N19" s="994"/>
      <c r="O19" s="995"/>
      <c r="P19" s="216"/>
    </row>
    <row r="20" spans="1:16" s="88" customFormat="1" ht="12.75">
      <c r="A20" s="222"/>
      <c r="B20" s="109" t="s">
        <v>209</v>
      </c>
      <c r="C20" s="83"/>
      <c r="D20" s="403"/>
      <c r="E20" s="123">
        <f>+D20-C20</f>
        <v>0</v>
      </c>
      <c r="F20" s="385">
        <f>IF(+C20+D20=0,0,(IF(AND(+C20=0,D20&gt;0),1,(IF(AND(+C20&gt;0,D20=0),-1,+C20/+D20-1)))))</f>
        <v>0</v>
      </c>
      <c r="G20" s="187"/>
      <c r="H20" s="241"/>
      <c r="I20" s="650" t="e">
        <f>IF('Provider Total Budget by Serv'!E$300="N",0,(+'Provider Total Budget by Serv'!E53*'Provider Total Budget by Serv'!D$304))</f>
        <v>#DIV/0!</v>
      </c>
      <c r="J20" s="210" t="e">
        <f>IF(I20+C20=0,0,(IF(AND(I20=0,C20&gt;0),-1,(IF(AND(I20&gt;0,C20=0),1,+I20/C20-1)))))</f>
        <v>#DIV/0!</v>
      </c>
      <c r="K20" s="265"/>
      <c r="L20" s="358"/>
      <c r="M20" s="994"/>
      <c r="N20" s="994"/>
      <c r="O20" s="995"/>
      <c r="P20" s="216"/>
    </row>
    <row r="21" spans="1:16" s="88" customFormat="1" ht="12.75">
      <c r="A21" s="222"/>
      <c r="B21" s="110" t="s">
        <v>207</v>
      </c>
      <c r="C21" s="84"/>
      <c r="D21" s="390"/>
      <c r="E21" s="391">
        <f>+D21-C21</f>
        <v>0</v>
      </c>
      <c r="F21" s="404">
        <f>IF(+C21+D21=0,0,(IF(AND(+C21=0,D21&gt;0),1,(IF(AND(+C21&gt;0,D21=0),-1,+C21/+D21-1)))))</f>
        <v>0</v>
      </c>
      <c r="G21" s="185"/>
      <c r="H21" s="241"/>
      <c r="I21" s="651" t="e">
        <f>IF('Provider Total Budget by Serv'!E$300="N",0,(+'Provider Total Budget by Serv'!E43*'Provider Total Budget by Serv'!D$304))</f>
        <v>#DIV/0!</v>
      </c>
      <c r="J21" s="610" t="e">
        <f>IF(I21+C21=0,0,(IF(AND(I21=0,C21&gt;0),-1,(IF(AND(I21&gt;0,C21=0),1,+I21/C21-1)))))</f>
        <v>#DIV/0!</v>
      </c>
      <c r="K21" s="266"/>
      <c r="L21" s="358"/>
      <c r="M21" s="994">
        <f>+'Home Delivered Meal Budget'!M24</f>
        <v>0</v>
      </c>
      <c r="N21" s="994"/>
      <c r="O21" s="995"/>
      <c r="P21" s="216"/>
    </row>
    <row r="22" spans="1:16" s="88" customFormat="1" ht="12.75">
      <c r="A22" s="222"/>
      <c r="B22" s="110" t="s">
        <v>1</v>
      </c>
      <c r="C22" s="90">
        <f>SUM(C18:C21)</f>
        <v>0</v>
      </c>
      <c r="D22" s="393">
        <f>SUM(D18:D21)</f>
        <v>0</v>
      </c>
      <c r="E22" s="123">
        <f>+D22-C22</f>
        <v>0</v>
      </c>
      <c r="F22" s="394">
        <f>IF(+C22+D22=0,0,(IF(AND(+C22=0,D22&gt;0),1,(IF(AND(+C22&gt;0,D22=0),-1,+C22/+D22-1)))))</f>
        <v>0</v>
      </c>
      <c r="G22" s="185">
        <f>IF(AND(C22&gt;0,C$80&gt;0),+C22/C$80,0)</f>
        <v>0</v>
      </c>
      <c r="H22" s="358"/>
      <c r="I22" s="206" t="e">
        <f>SUM(I18:I21)</f>
        <v>#DIV/0!</v>
      </c>
      <c r="J22" s="185" t="e">
        <f>IF(I22+C22=0,0,(IF(AND(I22=0,C22&gt;0),-1,(IF(AND(I22&gt;0,C22=0),1,+I22/C22-1)))))</f>
        <v>#DIV/0!</v>
      </c>
      <c r="K22" s="396" t="e">
        <f>IF(AND(I22&gt;0,I$80&gt;0),+I22/I$80,0)</f>
        <v>#DIV/0!</v>
      </c>
      <c r="L22" s="358"/>
      <c r="M22" s="994"/>
      <c r="N22" s="994"/>
      <c r="O22" s="995"/>
      <c r="P22" s="216"/>
    </row>
    <row r="23" spans="1:16" s="88" customFormat="1" ht="12.75" customHeight="1">
      <c r="A23" s="223"/>
      <c r="B23" s="781" t="s">
        <v>232</v>
      </c>
      <c r="C23" s="781"/>
      <c r="D23" s="781"/>
      <c r="E23" s="781"/>
      <c r="F23" s="781"/>
      <c r="G23" s="867"/>
      <c r="H23" s="358"/>
      <c r="I23" s="502"/>
      <c r="J23" s="398"/>
      <c r="K23" s="503"/>
      <c r="L23" s="358"/>
      <c r="M23" s="676"/>
      <c r="N23" s="676"/>
      <c r="O23" s="676"/>
      <c r="P23" s="216"/>
    </row>
    <row r="24" spans="1:16" s="88" customFormat="1" ht="12.75">
      <c r="A24" s="221"/>
      <c r="B24" s="109" t="s">
        <v>207</v>
      </c>
      <c r="C24" s="82"/>
      <c r="D24" s="405"/>
      <c r="E24" s="123">
        <f>+D24-C24</f>
        <v>0</v>
      </c>
      <c r="F24" s="124">
        <f>IF(+C24+D24=0,0,(IF(AND(+C24=0,D24&gt;0),1,(IF(AND(+C24&gt;0,D24=0),-1,+C24/+D24-1)))))</f>
        <v>0</v>
      </c>
      <c r="G24" s="402"/>
      <c r="H24" s="358"/>
      <c r="I24" s="204">
        <f>+'Provider Total Budget by Serv'!G43</f>
        <v>0</v>
      </c>
      <c r="J24" s="187">
        <f>IF(I24+C24=0,0,(IF(AND(I24=0,C24&gt;0),-1,(IF(AND(I24&gt;0,C24=0),1,+I24/C24-1)))))</f>
        <v>0</v>
      </c>
      <c r="K24" s="265"/>
      <c r="L24" s="358"/>
      <c r="M24" s="994"/>
      <c r="N24" s="994"/>
      <c r="O24" s="995"/>
      <c r="P24" s="216"/>
    </row>
    <row r="25" spans="1:16" s="88" customFormat="1" ht="12.75">
      <c r="A25" s="222"/>
      <c r="B25" s="109" t="s">
        <v>208</v>
      </c>
      <c r="C25" s="83"/>
      <c r="D25" s="122"/>
      <c r="E25" s="123">
        <f>+D25-C25</f>
        <v>0</v>
      </c>
      <c r="F25" s="124">
        <f>IF(+C25+D25=0,0,(IF(AND(+C25=0,D25&gt;0),1,(IF(AND(+C25&gt;0,D25=0),-1,+C25/+D25-1)))))</f>
        <v>0</v>
      </c>
      <c r="G25" s="187"/>
      <c r="H25" s="358"/>
      <c r="I25" s="204">
        <f>+'Provider Total Budget by Serv'!G48</f>
        <v>0</v>
      </c>
      <c r="J25" s="187">
        <f>IF(I25+C25=0,0,(IF(AND(I25=0,C25&gt;0),-1,(IF(AND(I25&gt;0,C25=0),1,+I25/C25-1)))))</f>
        <v>0</v>
      </c>
      <c r="K25" s="265"/>
      <c r="L25" s="358"/>
      <c r="M25" s="994">
        <f>+'Home Delivered Meal Budget'!M27</f>
        <v>0</v>
      </c>
      <c r="N25" s="994"/>
      <c r="O25" s="995"/>
      <c r="P25" s="216"/>
    </row>
    <row r="26" spans="1:16" s="88" customFormat="1" ht="12.75">
      <c r="A26" s="222"/>
      <c r="B26" s="110" t="s">
        <v>209</v>
      </c>
      <c r="C26" s="84"/>
      <c r="D26" s="390"/>
      <c r="E26" s="391">
        <f>+D26-C26</f>
        <v>0</v>
      </c>
      <c r="F26" s="392">
        <f>IF(+C26+D26=0,0,(IF(AND(+C26=0,D26&gt;0),1,(IF(AND(+C26&gt;0,D26=0),-1,+C26/+D26-1)))))</f>
        <v>0</v>
      </c>
      <c r="G26" s="185"/>
      <c r="H26" s="358"/>
      <c r="I26" s="205">
        <f>+'Provider Total Budget by Serv'!G53</f>
        <v>0</v>
      </c>
      <c r="J26" s="185">
        <f>IF(I26+C26=0,0,(IF(AND(I26=0,C26&gt;0),-1,(IF(AND(I26&gt;0,C26=0),1,+I26/C26-1)))))</f>
        <v>0</v>
      </c>
      <c r="K26" s="266"/>
      <c r="L26" s="358"/>
      <c r="M26" s="994">
        <f>+'Home Delivered Meal Budget'!M28</f>
        <v>0</v>
      </c>
      <c r="N26" s="994"/>
      <c r="O26" s="995"/>
      <c r="P26" s="216"/>
    </row>
    <row r="27" spans="1:16" s="88" customFormat="1" ht="12.75">
      <c r="A27" s="222"/>
      <c r="B27" s="110" t="s">
        <v>1</v>
      </c>
      <c r="C27" s="90">
        <f>SUM(C24:C26)</f>
        <v>0</v>
      </c>
      <c r="D27" s="91">
        <f>SUM(D24:D26)</f>
        <v>0</v>
      </c>
      <c r="E27" s="123">
        <f>+D27-C27</f>
        <v>0</v>
      </c>
      <c r="F27" s="394">
        <f>IF(+C27+D27=0,0,(IF(AND(+C27=0,D27&gt;0),1,(IF(AND(+C27&gt;0,D27=0),-1,+C27/+D27-1)))))</f>
        <v>0</v>
      </c>
      <c r="G27" s="185">
        <f>IF(AND(C27&gt;0,C$80&gt;0),+C27/C$80,0)</f>
        <v>0</v>
      </c>
      <c r="H27" s="358"/>
      <c r="I27" s="206">
        <f>SUM(I24:I26)</f>
        <v>0</v>
      </c>
      <c r="J27" s="185">
        <f>IF(I27+C27=0,0,(IF(AND(I27=0,C27&gt;0),-1,(IF(AND(I27&gt;0,C27=0),1,+I27/C27-1)))))</f>
        <v>0</v>
      </c>
      <c r="K27" s="396" t="e">
        <f>IF(AND(I27&gt;0,I$80&gt;0),+I27/I$80,0)</f>
        <v>#DIV/0!</v>
      </c>
      <c r="L27" s="358"/>
      <c r="M27" s="994">
        <f>+'Home Delivered Meal Budget'!M29</f>
        <v>0</v>
      </c>
      <c r="N27" s="994"/>
      <c r="O27" s="995"/>
      <c r="P27" s="216"/>
    </row>
    <row r="28" spans="1:16" s="88" customFormat="1" ht="12.75">
      <c r="A28" s="223"/>
      <c r="B28" s="781" t="s">
        <v>233</v>
      </c>
      <c r="C28" s="781"/>
      <c r="D28" s="781"/>
      <c r="E28" s="781"/>
      <c r="F28" s="781"/>
      <c r="G28" s="867"/>
      <c r="H28" s="358"/>
      <c r="I28" s="502"/>
      <c r="J28" s="398"/>
      <c r="K28" s="503"/>
      <c r="L28" s="358"/>
      <c r="M28" s="676"/>
      <c r="N28" s="676"/>
      <c r="O28" s="676"/>
      <c r="P28" s="216"/>
    </row>
    <row r="29" spans="1:16" s="88" customFormat="1" ht="12.75">
      <c r="A29" s="221"/>
      <c r="B29" s="109" t="s">
        <v>20</v>
      </c>
      <c r="C29" s="82"/>
      <c r="D29" s="122"/>
      <c r="E29" s="123">
        <f aca="true" t="shared" si="0" ref="E29:E35">+D29-C29</f>
        <v>0</v>
      </c>
      <c r="F29" s="124">
        <f aca="true" t="shared" si="1" ref="F29:F35">IF(+C29+D29=0,0,(IF(AND(+C29=0,D29&gt;0),1,(IF(AND(+C29&gt;0,D29=0),-1,+C29/+D29-1)))))</f>
        <v>0</v>
      </c>
      <c r="G29" s="402"/>
      <c r="H29" s="358"/>
      <c r="I29" s="204">
        <f>+'Provider Total Budget by Serv'!G61</f>
        <v>0</v>
      </c>
      <c r="J29" s="187">
        <f aca="true" t="shared" si="2" ref="J29:J35">IF(I29+C29=0,0,(IF(AND(I29=0,C29&gt;0),-1,(IF(AND(I29&gt;0,C29=0),1,+I29/C29-1)))))</f>
        <v>0</v>
      </c>
      <c r="K29" s="265"/>
      <c r="L29" s="358"/>
      <c r="M29" s="994"/>
      <c r="N29" s="994"/>
      <c r="O29" s="995"/>
      <c r="P29" s="216"/>
    </row>
    <row r="30" spans="1:16" s="88" customFormat="1" ht="12.75">
      <c r="A30" s="222"/>
      <c r="B30" s="121" t="s">
        <v>244</v>
      </c>
      <c r="C30" s="83"/>
      <c r="D30" s="122"/>
      <c r="E30" s="123">
        <f t="shared" si="0"/>
        <v>0</v>
      </c>
      <c r="F30" s="124">
        <f t="shared" si="1"/>
        <v>0</v>
      </c>
      <c r="G30" s="187"/>
      <c r="H30" s="358"/>
      <c r="I30" s="204">
        <f>+'Provider Total Budget by Serv'!G68</f>
        <v>0</v>
      </c>
      <c r="J30" s="187">
        <f t="shared" si="2"/>
        <v>0</v>
      </c>
      <c r="K30" s="265"/>
      <c r="L30" s="358"/>
      <c r="M30" s="994">
        <f>+'Home Delivered Meal Budget'!M32</f>
        <v>0</v>
      </c>
      <c r="N30" s="994"/>
      <c r="O30" s="995"/>
      <c r="P30" s="216"/>
    </row>
    <row r="31" spans="1:16" s="88" customFormat="1" ht="12.75">
      <c r="A31" s="222"/>
      <c r="B31" s="109" t="s">
        <v>21</v>
      </c>
      <c r="C31" s="83"/>
      <c r="D31" s="122"/>
      <c r="E31" s="123">
        <f t="shared" si="0"/>
        <v>0</v>
      </c>
      <c r="F31" s="124">
        <f t="shared" si="1"/>
        <v>0</v>
      </c>
      <c r="G31" s="187"/>
      <c r="H31" s="358"/>
      <c r="I31" s="204">
        <f>+'Provider Total Budget by Serv'!G73</f>
        <v>0</v>
      </c>
      <c r="J31" s="187">
        <f t="shared" si="2"/>
        <v>0</v>
      </c>
      <c r="K31" s="265"/>
      <c r="L31" s="358"/>
      <c r="M31" s="994">
        <f>+'Home Delivered Meal Budget'!M33</f>
        <v>0</v>
      </c>
      <c r="N31" s="994"/>
      <c r="O31" s="995"/>
      <c r="P31" s="216"/>
    </row>
    <row r="32" spans="1:16" s="88" customFormat="1" ht="12.75">
      <c r="A32" s="222"/>
      <c r="B32" s="109" t="s">
        <v>216</v>
      </c>
      <c r="C32" s="83"/>
      <c r="D32" s="122"/>
      <c r="E32" s="123">
        <f t="shared" si="0"/>
        <v>0</v>
      </c>
      <c r="F32" s="254">
        <f t="shared" si="1"/>
        <v>0</v>
      </c>
      <c r="G32" s="406"/>
      <c r="H32" s="358"/>
      <c r="I32" s="204">
        <f>+'Provider Total Budget by Serv'!G78</f>
        <v>0</v>
      </c>
      <c r="J32" s="187">
        <f t="shared" si="2"/>
        <v>0</v>
      </c>
      <c r="K32" s="265"/>
      <c r="L32" s="358"/>
      <c r="M32" s="994">
        <f>+'Home Delivered Meal Budget'!M34</f>
        <v>0</v>
      </c>
      <c r="N32" s="994"/>
      <c r="O32" s="995"/>
      <c r="P32" s="216"/>
    </row>
    <row r="33" spans="1:16" s="88" customFormat="1" ht="12.75">
      <c r="A33" s="222"/>
      <c r="B33" s="109" t="s">
        <v>217</v>
      </c>
      <c r="C33" s="83"/>
      <c r="D33" s="122"/>
      <c r="E33" s="123">
        <f t="shared" si="0"/>
        <v>0</v>
      </c>
      <c r="F33" s="254">
        <f t="shared" si="1"/>
        <v>0</v>
      </c>
      <c r="G33" s="187"/>
      <c r="H33" s="358"/>
      <c r="I33" s="204">
        <f>+'Provider Total Budget by Serv'!G87</f>
        <v>0</v>
      </c>
      <c r="J33" s="187">
        <f t="shared" si="2"/>
        <v>0</v>
      </c>
      <c r="K33" s="265"/>
      <c r="L33" s="358"/>
      <c r="M33" s="994">
        <f>+'Home Delivered Meal Budget'!M35</f>
        <v>0</v>
      </c>
      <c r="N33" s="994"/>
      <c r="O33" s="995"/>
      <c r="P33" s="216"/>
    </row>
    <row r="34" spans="1:16" s="88" customFormat="1" ht="12.75">
      <c r="A34" s="222"/>
      <c r="B34" s="110" t="s">
        <v>220</v>
      </c>
      <c r="C34" s="84"/>
      <c r="D34" s="407"/>
      <c r="E34" s="391">
        <f t="shared" si="0"/>
        <v>0</v>
      </c>
      <c r="F34" s="408">
        <f t="shared" si="1"/>
        <v>0</v>
      </c>
      <c r="G34" s="185"/>
      <c r="H34" s="358"/>
      <c r="I34" s="205">
        <f>+'Provider Total Budget by Serv'!G92</f>
        <v>0</v>
      </c>
      <c r="J34" s="185">
        <f t="shared" si="2"/>
        <v>0</v>
      </c>
      <c r="K34" s="266"/>
      <c r="L34" s="358"/>
      <c r="M34" s="994">
        <f>+'Home Delivered Meal Budget'!M36</f>
        <v>0</v>
      </c>
      <c r="N34" s="994"/>
      <c r="O34" s="995"/>
      <c r="P34" s="216"/>
    </row>
    <row r="35" spans="1:16" s="88" customFormat="1" ht="12.75">
      <c r="A35" s="222"/>
      <c r="B35" s="110" t="s">
        <v>1</v>
      </c>
      <c r="C35" s="90">
        <f>SUM(C29:C34)</f>
        <v>0</v>
      </c>
      <c r="D35" s="91">
        <f>SUM(D29:D34)</f>
        <v>0</v>
      </c>
      <c r="E35" s="123">
        <f t="shared" si="0"/>
        <v>0</v>
      </c>
      <c r="F35" s="394">
        <f t="shared" si="1"/>
        <v>0</v>
      </c>
      <c r="G35" s="185">
        <f>IF(AND(C35&gt;0,C$80&gt;0),+C35/C$80,0)</f>
        <v>0</v>
      </c>
      <c r="H35" s="358"/>
      <c r="I35" s="206">
        <f>SUM(I29:I34)</f>
        <v>0</v>
      </c>
      <c r="J35" s="185">
        <f t="shared" si="2"/>
        <v>0</v>
      </c>
      <c r="K35" s="396" t="e">
        <f>IF(AND(I35&gt;0,I$80&gt;0),+I35/I$80,0)</f>
        <v>#DIV/0!</v>
      </c>
      <c r="L35" s="358"/>
      <c r="M35" s="994">
        <f>+'Home Delivered Meal Budget'!M37</f>
        <v>0</v>
      </c>
      <c r="N35" s="994"/>
      <c r="O35" s="995"/>
      <c r="P35" s="216"/>
    </row>
    <row r="36" spans="1:16" s="88" customFormat="1" ht="12.75">
      <c r="A36" s="223"/>
      <c r="B36" s="781" t="s">
        <v>234</v>
      </c>
      <c r="C36" s="781"/>
      <c r="D36" s="781"/>
      <c r="E36" s="781"/>
      <c r="F36" s="781"/>
      <c r="G36" s="867"/>
      <c r="H36" s="358"/>
      <c r="I36" s="502"/>
      <c r="J36" s="398"/>
      <c r="K36" s="503"/>
      <c r="L36" s="358"/>
      <c r="M36" s="676"/>
      <c r="N36" s="676"/>
      <c r="O36" s="676"/>
      <c r="P36" s="216"/>
    </row>
    <row r="37" spans="1:16" s="88" customFormat="1" ht="12.75">
      <c r="A37" s="221"/>
      <c r="B37" s="109" t="s">
        <v>210</v>
      </c>
      <c r="C37" s="82"/>
      <c r="D37" s="122"/>
      <c r="E37" s="123">
        <f>+D37-C37</f>
        <v>0</v>
      </c>
      <c r="F37" s="124">
        <f>IF(+C37+D37=0,0,(IF(AND(+C37=0,D37&gt;0),1,(IF(AND(+C37&gt;0,D37=0),-1,+C37/+D37-1)))))</f>
        <v>0</v>
      </c>
      <c r="G37" s="406"/>
      <c r="H37" s="358"/>
      <c r="I37" s="204">
        <f>+'Provider Total Budget by Serv'!G99</f>
        <v>0</v>
      </c>
      <c r="J37" s="187">
        <f>IF(I37+C37=0,0,(IF(AND(I37=0,C37&gt;0),-1,(IF(AND(I37&gt;0,C37=0),1,+I37/C37-1)))))</f>
        <v>0</v>
      </c>
      <c r="K37" s="265"/>
      <c r="L37" s="358"/>
      <c r="M37" s="994"/>
      <c r="N37" s="994"/>
      <c r="O37" s="995"/>
      <c r="P37" s="216"/>
    </row>
    <row r="38" spans="1:16" s="88" customFormat="1" ht="12.75">
      <c r="A38" s="222"/>
      <c r="B38" s="109" t="s">
        <v>4</v>
      </c>
      <c r="C38" s="83"/>
      <c r="D38" s="122"/>
      <c r="E38" s="123">
        <f>+D38-C38</f>
        <v>0</v>
      </c>
      <c r="F38" s="124">
        <f>IF(+C38+D38=0,0,(IF(AND(+C38=0,D38&gt;0),1,(IF(AND(+C38&gt;0,D38=0),-1,+C38/+D38-1)))))</f>
        <v>0</v>
      </c>
      <c r="G38" s="187"/>
      <c r="H38" s="358"/>
      <c r="I38" s="204">
        <f>+'Provider Total Budget by Serv'!G104</f>
        <v>0</v>
      </c>
      <c r="J38" s="187">
        <f>IF(I38+C38=0,0,(IF(AND(I38=0,C38&gt;0),-1,(IF(AND(I38&gt;0,C38=0),1,+I38/C38-1)))))</f>
        <v>0</v>
      </c>
      <c r="K38" s="265"/>
      <c r="L38" s="358"/>
      <c r="M38" s="994">
        <f>+'Home Delivered Meal Budget'!M40</f>
        <v>0</v>
      </c>
      <c r="N38" s="994"/>
      <c r="O38" s="995"/>
      <c r="P38" s="216"/>
    </row>
    <row r="39" spans="1:16" s="88" customFormat="1" ht="12.75">
      <c r="A39" s="222"/>
      <c r="B39" s="109" t="s">
        <v>211</v>
      </c>
      <c r="C39" s="83"/>
      <c r="D39" s="122"/>
      <c r="E39" s="123">
        <f>+D39-C39</f>
        <v>0</v>
      </c>
      <c r="F39" s="124">
        <f>IF(+C39+D39=0,0,(IF(AND(+C39=0,D39&gt;0),1,(IF(AND(+C39&gt;0,D39=0),-1,+C39/+D39-1)))))</f>
        <v>0</v>
      </c>
      <c r="G39" s="187"/>
      <c r="H39" s="358"/>
      <c r="I39" s="204">
        <f>+'Provider Total Budget by Serv'!G109</f>
        <v>0</v>
      </c>
      <c r="J39" s="187">
        <f>IF(I39+C39=0,0,(IF(AND(I39=0,C39&gt;0),-1,(IF(AND(I39&gt;0,C39=0),1,+I39/C39-1)))))</f>
        <v>0</v>
      </c>
      <c r="K39" s="265"/>
      <c r="L39" s="358"/>
      <c r="M39" s="994">
        <f>+'Home Delivered Meal Budget'!M41</f>
        <v>0</v>
      </c>
      <c r="N39" s="994"/>
      <c r="O39" s="995"/>
      <c r="P39" s="216"/>
    </row>
    <row r="40" spans="1:16" s="88" customFormat="1" ht="12.75">
      <c r="A40" s="222"/>
      <c r="B40" s="110" t="s">
        <v>212</v>
      </c>
      <c r="C40" s="84"/>
      <c r="D40" s="390"/>
      <c r="E40" s="391">
        <f>+D40-C40</f>
        <v>0</v>
      </c>
      <c r="F40" s="392">
        <f>IF(+C40+D40=0,0,(IF(AND(+C40=0,D40&gt;0),1,(IF(AND(+C40&gt;0,D40=0),-1,+C40/+D40-1)))))</f>
        <v>0</v>
      </c>
      <c r="G40" s="185"/>
      <c r="H40" s="358"/>
      <c r="I40" s="205">
        <f>+'Provider Total Budget by Serv'!G114</f>
        <v>0</v>
      </c>
      <c r="J40" s="185">
        <f>IF(I40+C40=0,0,(IF(AND(I40=0,C40&gt;0),-1,(IF(AND(I40&gt;0,C40=0),1,+I40/C40-1)))))</f>
        <v>0</v>
      </c>
      <c r="K40" s="266"/>
      <c r="L40" s="358"/>
      <c r="M40" s="994">
        <f>+'Home Delivered Meal Budget'!M42</f>
        <v>0</v>
      </c>
      <c r="N40" s="994"/>
      <c r="O40" s="995"/>
      <c r="P40" s="216"/>
    </row>
    <row r="41" spans="1:16" s="88" customFormat="1" ht="12.75">
      <c r="A41" s="222"/>
      <c r="B41" s="110" t="s">
        <v>1</v>
      </c>
      <c r="C41" s="90">
        <f>SUM(C37:C40)</f>
        <v>0</v>
      </c>
      <c r="D41" s="91">
        <f>SUM(D37:D40)</f>
        <v>0</v>
      </c>
      <c r="E41" s="123">
        <f>+D41-C41</f>
        <v>0</v>
      </c>
      <c r="F41" s="394">
        <f>IF(+C41+D41=0,0,(IF(AND(+C41=0,D41&gt;0),1,(IF(AND(+C41&gt;0,D41=0),-1,+C41/+D41-1)))))</f>
        <v>0</v>
      </c>
      <c r="G41" s="185">
        <f>IF(AND(C41&gt;0,C$80&gt;0),+C41/C$80,0)</f>
        <v>0</v>
      </c>
      <c r="H41" s="358"/>
      <c r="I41" s="206">
        <f>SUM(I37:I40)</f>
        <v>0</v>
      </c>
      <c r="J41" s="185">
        <f>IF(I41+C41=0,0,(IF(AND(I41=0,C41&gt;0),-1,(IF(AND(I41&gt;0,C41=0),1,+I41/C41-1)))))</f>
        <v>0</v>
      </c>
      <c r="K41" s="396" t="e">
        <f>IF(AND(I41&gt;0,I$80&gt;0),+I41/I$80,0)</f>
        <v>#DIV/0!</v>
      </c>
      <c r="L41" s="358"/>
      <c r="M41" s="994">
        <f>+'Home Delivered Meal Budget'!M43</f>
        <v>0</v>
      </c>
      <c r="N41" s="994"/>
      <c r="O41" s="995"/>
      <c r="P41" s="216"/>
    </row>
    <row r="42" spans="1:16" s="88" customFormat="1" ht="12.75">
      <c r="A42" s="223"/>
      <c r="B42" s="781" t="s">
        <v>235</v>
      </c>
      <c r="C42" s="781"/>
      <c r="D42" s="781"/>
      <c r="E42" s="781"/>
      <c r="F42" s="781"/>
      <c r="G42" s="867"/>
      <c r="H42" s="358"/>
      <c r="I42" s="502"/>
      <c r="J42" s="398"/>
      <c r="K42" s="503"/>
      <c r="L42" s="358"/>
      <c r="M42" s="677"/>
      <c r="N42" s="677"/>
      <c r="O42" s="677"/>
      <c r="P42" s="216"/>
    </row>
    <row r="43" spans="1:16" s="88" customFormat="1" ht="12.75">
      <c r="A43" s="221"/>
      <c r="B43" s="109" t="s">
        <v>6</v>
      </c>
      <c r="C43" s="82"/>
      <c r="D43" s="122"/>
      <c r="E43" s="123">
        <f aca="true" t="shared" si="3" ref="E43:E52">+D43-C43</f>
        <v>0</v>
      </c>
      <c r="F43" s="124">
        <f aca="true" t="shared" si="4" ref="F43:F52">IF(+C43+D43=0,0,(IF(AND(+C43=0,D43&gt;0),1,(IF(AND(+C43&gt;0,D43=0),-1,+C43/+D43-1)))))</f>
        <v>0</v>
      </c>
      <c r="G43" s="187"/>
      <c r="H43" s="358"/>
      <c r="I43" s="230">
        <f>+'Provider Total Budget by Serv'!G121</f>
        <v>0</v>
      </c>
      <c r="J43" s="187">
        <f aca="true" t="shared" si="5" ref="J43:J52">IF(I43+C43=0,0,(IF(AND(I43=0,C43&gt;0),-1,(IF(AND(I43&gt;0,C43=0),1,+I43/C43-1)))))</f>
        <v>0</v>
      </c>
      <c r="K43" s="265"/>
      <c r="L43" s="358"/>
      <c r="M43" s="994"/>
      <c r="N43" s="994"/>
      <c r="O43" s="995"/>
      <c r="P43" s="216"/>
    </row>
    <row r="44" spans="1:16" s="88" customFormat="1" ht="12.75">
      <c r="A44" s="222"/>
      <c r="B44" s="109" t="s">
        <v>7</v>
      </c>
      <c r="C44" s="83"/>
      <c r="D44" s="122"/>
      <c r="E44" s="123">
        <f t="shared" si="3"/>
        <v>0</v>
      </c>
      <c r="F44" s="124">
        <f t="shared" si="4"/>
        <v>0</v>
      </c>
      <c r="G44" s="187"/>
      <c r="H44" s="358"/>
      <c r="I44" s="204">
        <f>+'Provider Total Budget by Serv'!G126</f>
        <v>0</v>
      </c>
      <c r="J44" s="187">
        <f t="shared" si="5"/>
        <v>0</v>
      </c>
      <c r="K44" s="265"/>
      <c r="L44" s="358"/>
      <c r="M44" s="994">
        <f>+'Home Delivered Meal Budget'!M46</f>
        <v>0</v>
      </c>
      <c r="N44" s="994"/>
      <c r="O44" s="995"/>
      <c r="P44" s="216"/>
    </row>
    <row r="45" spans="1:16" s="88" customFormat="1" ht="12.75">
      <c r="A45" s="222"/>
      <c r="B45" s="109" t="s">
        <v>210</v>
      </c>
      <c r="C45" s="83"/>
      <c r="D45" s="122"/>
      <c r="E45" s="123">
        <f t="shared" si="3"/>
        <v>0</v>
      </c>
      <c r="F45" s="124">
        <f t="shared" si="4"/>
        <v>0</v>
      </c>
      <c r="G45" s="406"/>
      <c r="H45" s="358"/>
      <c r="I45" s="204">
        <f>+'Provider Total Budget by Serv'!G131</f>
        <v>0</v>
      </c>
      <c r="J45" s="187">
        <f t="shared" si="5"/>
        <v>0</v>
      </c>
      <c r="K45" s="265"/>
      <c r="L45" s="358"/>
      <c r="M45" s="994">
        <f>+'Home Delivered Meal Budget'!M47</f>
        <v>0</v>
      </c>
      <c r="N45" s="994"/>
      <c r="O45" s="995"/>
      <c r="P45" s="216"/>
    </row>
    <row r="46" spans="1:16" s="88" customFormat="1" ht="12.75">
      <c r="A46" s="222"/>
      <c r="B46" s="109" t="s">
        <v>39</v>
      </c>
      <c r="C46" s="83"/>
      <c r="D46" s="122"/>
      <c r="E46" s="123">
        <f t="shared" si="3"/>
        <v>0</v>
      </c>
      <c r="F46" s="124">
        <f t="shared" si="4"/>
        <v>0</v>
      </c>
      <c r="G46" s="187"/>
      <c r="H46" s="358"/>
      <c r="I46" s="204">
        <f>+'Provider Total Budget by Serv'!G136</f>
        <v>0</v>
      </c>
      <c r="J46" s="187">
        <f t="shared" si="5"/>
        <v>0</v>
      </c>
      <c r="K46" s="265"/>
      <c r="L46" s="358"/>
      <c r="M46" s="994">
        <f>+'Home Delivered Meal Budget'!M48</f>
        <v>0</v>
      </c>
      <c r="N46" s="994"/>
      <c r="O46" s="995"/>
      <c r="P46" s="216"/>
    </row>
    <row r="47" spans="1:16" s="88" customFormat="1" ht="12.75">
      <c r="A47" s="222"/>
      <c r="B47" s="109" t="s">
        <v>213</v>
      </c>
      <c r="C47" s="83"/>
      <c r="D47" s="122"/>
      <c r="E47" s="123">
        <f t="shared" si="3"/>
        <v>0</v>
      </c>
      <c r="F47" s="124">
        <f t="shared" si="4"/>
        <v>0</v>
      </c>
      <c r="G47" s="187"/>
      <c r="H47" s="358"/>
      <c r="I47" s="204">
        <f>+'Provider Total Budget by Serv'!G141</f>
        <v>0</v>
      </c>
      <c r="J47" s="187">
        <f t="shared" si="5"/>
        <v>0</v>
      </c>
      <c r="K47" s="265"/>
      <c r="L47" s="358"/>
      <c r="M47" s="994">
        <f>+'Home Delivered Meal Budget'!M49</f>
        <v>0</v>
      </c>
      <c r="N47" s="994"/>
      <c r="O47" s="995"/>
      <c r="P47" s="216"/>
    </row>
    <row r="48" spans="1:16" s="88" customFormat="1" ht="12.75">
      <c r="A48" s="222"/>
      <c r="B48" s="109" t="s">
        <v>8</v>
      </c>
      <c r="C48" s="83"/>
      <c r="D48" s="122"/>
      <c r="E48" s="123">
        <f t="shared" si="3"/>
        <v>0</v>
      </c>
      <c r="F48" s="124">
        <f t="shared" si="4"/>
        <v>0</v>
      </c>
      <c r="G48" s="406"/>
      <c r="H48" s="358"/>
      <c r="I48" s="204">
        <f>+'Provider Total Budget by Serv'!G146</f>
        <v>0</v>
      </c>
      <c r="J48" s="187">
        <f t="shared" si="5"/>
        <v>0</v>
      </c>
      <c r="K48" s="265"/>
      <c r="L48" s="358"/>
      <c r="M48" s="994">
        <f>+'Home Delivered Meal Budget'!M50</f>
        <v>0</v>
      </c>
      <c r="N48" s="994"/>
      <c r="O48" s="995"/>
      <c r="P48" s="216"/>
    </row>
    <row r="49" spans="1:16" s="88" customFormat="1" ht="12.75">
      <c r="A49" s="222"/>
      <c r="B49" s="109" t="s">
        <v>9</v>
      </c>
      <c r="C49" s="83"/>
      <c r="D49" s="122"/>
      <c r="E49" s="123">
        <f t="shared" si="3"/>
        <v>0</v>
      </c>
      <c r="F49" s="124">
        <f t="shared" si="4"/>
        <v>0</v>
      </c>
      <c r="G49" s="187"/>
      <c r="H49" s="358"/>
      <c r="I49" s="204">
        <f>+'Provider Total Budget by Serv'!G151</f>
        <v>0</v>
      </c>
      <c r="J49" s="187">
        <f t="shared" si="5"/>
        <v>0</v>
      </c>
      <c r="K49" s="265"/>
      <c r="L49" s="358"/>
      <c r="M49" s="994">
        <f>+'Home Delivered Meal Budget'!M51</f>
        <v>0</v>
      </c>
      <c r="N49" s="994"/>
      <c r="O49" s="995"/>
      <c r="P49" s="216"/>
    </row>
    <row r="50" spans="1:16" s="88" customFormat="1" ht="12.75">
      <c r="A50" s="222"/>
      <c r="B50" s="109" t="s">
        <v>214</v>
      </c>
      <c r="C50" s="83"/>
      <c r="D50" s="122"/>
      <c r="E50" s="123">
        <f t="shared" si="3"/>
        <v>0</v>
      </c>
      <c r="F50" s="124">
        <f t="shared" si="4"/>
        <v>0</v>
      </c>
      <c r="G50" s="187"/>
      <c r="H50" s="358"/>
      <c r="I50" s="204">
        <f>+'Provider Total Budget by Serv'!G156</f>
        <v>0</v>
      </c>
      <c r="J50" s="187">
        <f t="shared" si="5"/>
        <v>0</v>
      </c>
      <c r="K50" s="265"/>
      <c r="L50" s="358"/>
      <c r="M50" s="994">
        <f>+'Home Delivered Meal Budget'!M52</f>
        <v>0</v>
      </c>
      <c r="N50" s="994"/>
      <c r="O50" s="995"/>
      <c r="P50" s="216"/>
    </row>
    <row r="51" spans="1:16" s="88" customFormat="1" ht="12.75">
      <c r="A51" s="222"/>
      <c r="B51" s="110" t="s">
        <v>215</v>
      </c>
      <c r="C51" s="84"/>
      <c r="D51" s="390"/>
      <c r="E51" s="391">
        <f t="shared" si="3"/>
        <v>0</v>
      </c>
      <c r="F51" s="392">
        <f t="shared" si="4"/>
        <v>0</v>
      </c>
      <c r="G51" s="185"/>
      <c r="H51" s="358"/>
      <c r="I51" s="205">
        <f>+'Provider Total Budget by Serv'!G161</f>
        <v>0</v>
      </c>
      <c r="J51" s="185">
        <f t="shared" si="5"/>
        <v>0</v>
      </c>
      <c r="K51" s="266"/>
      <c r="L51" s="358"/>
      <c r="M51" s="994">
        <f>+'Home Delivered Meal Budget'!M53</f>
        <v>0</v>
      </c>
      <c r="N51" s="994"/>
      <c r="O51" s="995"/>
      <c r="P51" s="216"/>
    </row>
    <row r="52" spans="1:16" s="88" customFormat="1" ht="12.75">
      <c r="A52" s="222"/>
      <c r="B52" s="110" t="s">
        <v>1</v>
      </c>
      <c r="C52" s="90">
        <f>SUM(C43:C51)</f>
        <v>0</v>
      </c>
      <c r="D52" s="91">
        <f>SUM(D43:D51)</f>
        <v>0</v>
      </c>
      <c r="E52" s="123">
        <f t="shared" si="3"/>
        <v>0</v>
      </c>
      <c r="F52" s="394">
        <f t="shared" si="4"/>
        <v>0</v>
      </c>
      <c r="G52" s="185">
        <f>IF(AND(C52&gt;0,C$80&gt;0),+C52/C$80,0)</f>
        <v>0</v>
      </c>
      <c r="H52" s="358"/>
      <c r="I52" s="206">
        <f>SUM(I43:I51)</f>
        <v>0</v>
      </c>
      <c r="J52" s="185">
        <f t="shared" si="5"/>
        <v>0</v>
      </c>
      <c r="K52" s="396" t="e">
        <f>IF(AND(I52&gt;0,I$80&gt;0),+I52/I$80,0)</f>
        <v>#DIV/0!</v>
      </c>
      <c r="L52" s="358"/>
      <c r="M52" s="994">
        <f>+'Home Delivered Meal Budget'!M54</f>
        <v>0</v>
      </c>
      <c r="N52" s="994"/>
      <c r="O52" s="995"/>
      <c r="P52" s="216"/>
    </row>
    <row r="53" spans="1:16" s="88" customFormat="1" ht="12.75">
      <c r="A53" s="223"/>
      <c r="B53" s="781" t="s">
        <v>236</v>
      </c>
      <c r="C53" s="781"/>
      <c r="D53" s="781"/>
      <c r="E53" s="781"/>
      <c r="F53" s="781"/>
      <c r="G53" s="867"/>
      <c r="H53" s="358"/>
      <c r="I53" s="502"/>
      <c r="J53" s="398"/>
      <c r="K53" s="503"/>
      <c r="L53" s="358"/>
      <c r="M53" s="676"/>
      <c r="N53" s="676"/>
      <c r="O53" s="676"/>
      <c r="P53" s="216"/>
    </row>
    <row r="54" spans="1:16" s="88" customFormat="1" ht="12.75">
      <c r="A54" s="221"/>
      <c r="B54" s="109" t="s">
        <v>27</v>
      </c>
      <c r="C54" s="82"/>
      <c r="D54" s="122"/>
      <c r="E54" s="123">
        <f aca="true" t="shared" si="6" ref="E54:E62">+D54-C54</f>
        <v>0</v>
      </c>
      <c r="F54" s="124">
        <f aca="true" t="shared" si="7" ref="F54:F62">IF(+C54+D54=0,0,(IF(AND(+C54=0,D54&gt;0),1,(IF(AND(+C54&gt;0,D54=0),-1,+C54/+D54-1)))))</f>
        <v>0</v>
      </c>
      <c r="G54" s="410"/>
      <c r="H54" s="358"/>
      <c r="I54" s="204">
        <f>+'Provider Total Budget by Serv'!G168</f>
        <v>0</v>
      </c>
      <c r="J54" s="187">
        <f aca="true" t="shared" si="8" ref="J54:J62">IF(I54+C54=0,0,(IF(AND(I54=0,C54&gt;0),-1,(IF(AND(I54&gt;0,C54=0),1,+I54/C54-1)))))</f>
        <v>0</v>
      </c>
      <c r="K54" s="265"/>
      <c r="L54" s="358"/>
      <c r="M54" s="994"/>
      <c r="N54" s="994"/>
      <c r="O54" s="995"/>
      <c r="P54" s="216"/>
    </row>
    <row r="55" spans="1:16" s="88" customFormat="1" ht="12.75">
      <c r="A55" s="222"/>
      <c r="B55" s="109" t="s">
        <v>22</v>
      </c>
      <c r="C55" s="83"/>
      <c r="D55" s="122"/>
      <c r="E55" s="123">
        <f t="shared" si="6"/>
        <v>0</v>
      </c>
      <c r="F55" s="124">
        <f t="shared" si="7"/>
        <v>0</v>
      </c>
      <c r="G55" s="411"/>
      <c r="H55" s="358"/>
      <c r="I55" s="204">
        <f>+'Provider Total Budget by Serv'!G173</f>
        <v>0</v>
      </c>
      <c r="J55" s="187">
        <f t="shared" si="8"/>
        <v>0</v>
      </c>
      <c r="K55" s="265"/>
      <c r="L55" s="358"/>
      <c r="M55" s="994">
        <f>+'Home Delivered Meal Budget'!M57</f>
        <v>0</v>
      </c>
      <c r="N55" s="994"/>
      <c r="O55" s="995"/>
      <c r="P55" s="216"/>
    </row>
    <row r="56" spans="1:16" s="88" customFormat="1" ht="12.75">
      <c r="A56" s="222"/>
      <c r="B56" s="109" t="s">
        <v>23</v>
      </c>
      <c r="C56" s="83"/>
      <c r="D56" s="122"/>
      <c r="E56" s="123">
        <f t="shared" si="6"/>
        <v>0</v>
      </c>
      <c r="F56" s="124">
        <f t="shared" si="7"/>
        <v>0</v>
      </c>
      <c r="G56" s="411"/>
      <c r="H56" s="358"/>
      <c r="I56" s="204">
        <f>+'Provider Total Budget by Serv'!G178</f>
        <v>0</v>
      </c>
      <c r="J56" s="187">
        <f t="shared" si="8"/>
        <v>0</v>
      </c>
      <c r="K56" s="265"/>
      <c r="L56" s="358"/>
      <c r="M56" s="994">
        <f>+'Home Delivered Meal Budget'!M58</f>
        <v>0</v>
      </c>
      <c r="N56" s="994"/>
      <c r="O56" s="995"/>
      <c r="P56" s="216"/>
    </row>
    <row r="57" spans="1:16" s="88" customFormat="1" ht="12.75">
      <c r="A57" s="222"/>
      <c r="B57" s="109" t="s">
        <v>218</v>
      </c>
      <c r="C57" s="83"/>
      <c r="D57" s="122"/>
      <c r="E57" s="123">
        <f t="shared" si="6"/>
        <v>0</v>
      </c>
      <c r="F57" s="124">
        <f t="shared" si="7"/>
        <v>0</v>
      </c>
      <c r="G57" s="411"/>
      <c r="H57" s="358"/>
      <c r="I57" s="204">
        <f>+'Provider Total Budget by Serv'!G183</f>
        <v>0</v>
      </c>
      <c r="J57" s="187">
        <f t="shared" si="8"/>
        <v>0</v>
      </c>
      <c r="K57" s="265"/>
      <c r="L57" s="358"/>
      <c r="M57" s="994">
        <f>+'Home Delivered Meal Budget'!M59</f>
        <v>0</v>
      </c>
      <c r="N57" s="994"/>
      <c r="O57" s="995"/>
      <c r="P57" s="216"/>
    </row>
    <row r="58" spans="1:16" s="88" customFormat="1" ht="12.75">
      <c r="A58" s="222"/>
      <c r="B58" s="109" t="s">
        <v>213</v>
      </c>
      <c r="C58" s="83"/>
      <c r="D58" s="122"/>
      <c r="E58" s="123">
        <f t="shared" si="6"/>
        <v>0</v>
      </c>
      <c r="F58" s="124">
        <f t="shared" si="7"/>
        <v>0</v>
      </c>
      <c r="G58" s="411"/>
      <c r="H58" s="358"/>
      <c r="I58" s="204">
        <f>+'Provider Total Budget by Serv'!G188</f>
        <v>0</v>
      </c>
      <c r="J58" s="187">
        <f t="shared" si="8"/>
        <v>0</v>
      </c>
      <c r="K58" s="265"/>
      <c r="L58" s="358"/>
      <c r="M58" s="994">
        <f>+'Home Delivered Meal Budget'!M60</f>
        <v>0</v>
      </c>
      <c r="N58" s="994"/>
      <c r="O58" s="995"/>
      <c r="P58" s="216"/>
    </row>
    <row r="59" spans="1:16" s="88" customFormat="1" ht="12.75">
      <c r="A59" s="222"/>
      <c r="B59" s="109" t="s">
        <v>219</v>
      </c>
      <c r="C59" s="83"/>
      <c r="D59" s="122"/>
      <c r="E59" s="123">
        <f t="shared" si="6"/>
        <v>0</v>
      </c>
      <c r="F59" s="124">
        <f t="shared" si="7"/>
        <v>0</v>
      </c>
      <c r="G59" s="187"/>
      <c r="H59" s="358"/>
      <c r="I59" s="204">
        <f>+'Provider Total Budget by Serv'!G193</f>
        <v>0</v>
      </c>
      <c r="J59" s="187">
        <f t="shared" si="8"/>
        <v>0</v>
      </c>
      <c r="K59" s="265"/>
      <c r="L59" s="358"/>
      <c r="M59" s="994">
        <f>+'Home Delivered Meal Budget'!M61</f>
        <v>0</v>
      </c>
      <c r="N59" s="994"/>
      <c r="O59" s="995"/>
      <c r="P59" s="216"/>
    </row>
    <row r="60" spans="1:16" s="88" customFormat="1" ht="12.75">
      <c r="A60" s="222"/>
      <c r="B60" s="109" t="s">
        <v>4</v>
      </c>
      <c r="C60" s="83"/>
      <c r="D60" s="122"/>
      <c r="E60" s="123">
        <f t="shared" si="6"/>
        <v>0</v>
      </c>
      <c r="F60" s="124">
        <f t="shared" si="7"/>
        <v>0</v>
      </c>
      <c r="G60" s="187"/>
      <c r="H60" s="358"/>
      <c r="I60" s="204">
        <f>+'Provider Total Budget by Serv'!G198</f>
        <v>0</v>
      </c>
      <c r="J60" s="187">
        <f t="shared" si="8"/>
        <v>0</v>
      </c>
      <c r="K60" s="265"/>
      <c r="L60" s="358"/>
      <c r="M60" s="994">
        <f>+'Home Delivered Meal Budget'!M62</f>
        <v>0</v>
      </c>
      <c r="N60" s="994"/>
      <c r="O60" s="995"/>
      <c r="P60" s="216"/>
    </row>
    <row r="61" spans="1:16" s="88" customFormat="1" ht="12.75">
      <c r="A61" s="222"/>
      <c r="B61" s="110" t="s">
        <v>29</v>
      </c>
      <c r="C61" s="84"/>
      <c r="D61" s="390"/>
      <c r="E61" s="391">
        <f t="shared" si="6"/>
        <v>0</v>
      </c>
      <c r="F61" s="392">
        <f t="shared" si="7"/>
        <v>0</v>
      </c>
      <c r="G61" s="185"/>
      <c r="H61" s="358"/>
      <c r="I61" s="205">
        <f>+'Provider Total Budget by Serv'!G203</f>
        <v>0</v>
      </c>
      <c r="J61" s="185">
        <f t="shared" si="8"/>
        <v>0</v>
      </c>
      <c r="K61" s="266"/>
      <c r="L61" s="358"/>
      <c r="M61" s="994">
        <f>+'Home Delivered Meal Budget'!M63</f>
        <v>0</v>
      </c>
      <c r="N61" s="994"/>
      <c r="O61" s="995"/>
      <c r="P61" s="216"/>
    </row>
    <row r="62" spans="1:16" s="88" customFormat="1" ht="12.75">
      <c r="A62" s="222"/>
      <c r="B62" s="110" t="s">
        <v>1</v>
      </c>
      <c r="C62" s="90">
        <f>SUM(C54:C61)</f>
        <v>0</v>
      </c>
      <c r="D62" s="91">
        <f>SUM(D54:D61)</f>
        <v>0</v>
      </c>
      <c r="E62" s="123">
        <f t="shared" si="6"/>
        <v>0</v>
      </c>
      <c r="F62" s="394">
        <f t="shared" si="7"/>
        <v>0</v>
      </c>
      <c r="G62" s="185">
        <f>IF(AND(C62&gt;0,C$80&gt;0),+C62/C$80,0)</f>
        <v>0</v>
      </c>
      <c r="H62" s="358"/>
      <c r="I62" s="206">
        <f>SUM(I54:I61)</f>
        <v>0</v>
      </c>
      <c r="J62" s="185">
        <f t="shared" si="8"/>
        <v>0</v>
      </c>
      <c r="K62" s="396" t="e">
        <f>IF(AND(I62&gt;0,I$80&gt;0),+I62/I$80,0)</f>
        <v>#DIV/0!</v>
      </c>
      <c r="L62" s="358"/>
      <c r="M62" s="994">
        <f>+'Home Delivered Meal Budget'!M64</f>
        <v>0</v>
      </c>
      <c r="N62" s="994"/>
      <c r="O62" s="995"/>
      <c r="P62" s="216"/>
    </row>
    <row r="63" spans="1:16" s="88" customFormat="1" ht="12.75">
      <c r="A63" s="223"/>
      <c r="B63" s="781" t="s">
        <v>237</v>
      </c>
      <c r="C63" s="781"/>
      <c r="D63" s="781"/>
      <c r="E63" s="781"/>
      <c r="F63" s="781"/>
      <c r="G63" s="867"/>
      <c r="H63" s="358"/>
      <c r="I63" s="502"/>
      <c r="J63" s="398"/>
      <c r="K63" s="503"/>
      <c r="L63" s="358"/>
      <c r="M63" s="676"/>
      <c r="N63" s="676"/>
      <c r="O63" s="676"/>
      <c r="P63" s="216"/>
    </row>
    <row r="64" spans="1:16" s="88" customFormat="1" ht="12.75">
      <c r="A64" s="221"/>
      <c r="B64" s="109" t="s">
        <v>18</v>
      </c>
      <c r="C64" s="83"/>
      <c r="D64" s="122"/>
      <c r="E64" s="123">
        <f aca="true" t="shared" si="9" ref="E64:E78">+D64-C64</f>
        <v>0</v>
      </c>
      <c r="F64" s="124">
        <f aca="true" t="shared" si="10" ref="F64:F78">IF(+C64+D64=0,0,(IF(AND(+C64=0,D64&gt;0),1,(IF(AND(+C64&gt;0,D64=0),-1,+C64/+D64-1)))))</f>
        <v>0</v>
      </c>
      <c r="G64" s="411"/>
      <c r="H64" s="358"/>
      <c r="I64" s="204">
        <f>+'Provider Total Budget by Serv'!G210</f>
        <v>0</v>
      </c>
      <c r="J64" s="187">
        <f aca="true" t="shared" si="11" ref="J64:J78">IF(I64+C64=0,0,(IF(AND(I64=0,C64&gt;0),-1,(IF(AND(I64&gt;0,C64=0),1,+I64/C64-1)))))</f>
        <v>0</v>
      </c>
      <c r="K64" s="265"/>
      <c r="L64" s="358"/>
      <c r="M64" s="994"/>
      <c r="N64" s="994"/>
      <c r="O64" s="995"/>
      <c r="P64" s="216"/>
    </row>
    <row r="65" spans="1:16" s="88" customFormat="1" ht="12.75">
      <c r="A65" s="222"/>
      <c r="B65" s="109" t="s">
        <v>10</v>
      </c>
      <c r="C65" s="83"/>
      <c r="D65" s="122"/>
      <c r="E65" s="123">
        <f t="shared" si="9"/>
        <v>0</v>
      </c>
      <c r="F65" s="124">
        <f t="shared" si="10"/>
        <v>0</v>
      </c>
      <c r="G65" s="411"/>
      <c r="H65" s="358"/>
      <c r="I65" s="204">
        <f>+'Provider Total Budget by Serv'!G215</f>
        <v>0</v>
      </c>
      <c r="J65" s="187">
        <f t="shared" si="11"/>
        <v>0</v>
      </c>
      <c r="K65" s="265"/>
      <c r="L65" s="358"/>
      <c r="M65" s="994">
        <f>+'Home Delivered Meal Budget'!M67</f>
        <v>0</v>
      </c>
      <c r="N65" s="994"/>
      <c r="O65" s="995"/>
      <c r="P65" s="216"/>
    </row>
    <row r="66" spans="1:16" s="88" customFormat="1" ht="12.75">
      <c r="A66" s="222"/>
      <c r="B66" s="109" t="s">
        <v>11</v>
      </c>
      <c r="C66" s="83"/>
      <c r="D66" s="122"/>
      <c r="E66" s="123">
        <f t="shared" si="9"/>
        <v>0</v>
      </c>
      <c r="F66" s="124">
        <f t="shared" si="10"/>
        <v>0</v>
      </c>
      <c r="G66" s="411"/>
      <c r="H66" s="358"/>
      <c r="I66" s="204">
        <f>+'Provider Total Budget by Serv'!G220</f>
        <v>0</v>
      </c>
      <c r="J66" s="187">
        <f t="shared" si="11"/>
        <v>0</v>
      </c>
      <c r="K66" s="265"/>
      <c r="L66" s="358"/>
      <c r="M66" s="994">
        <f>+'Home Delivered Meal Budget'!M68</f>
        <v>0</v>
      </c>
      <c r="N66" s="994"/>
      <c r="O66" s="995"/>
      <c r="P66" s="216"/>
    </row>
    <row r="67" spans="1:16" s="88" customFormat="1" ht="12.75">
      <c r="A67" s="222"/>
      <c r="B67" s="109" t="s">
        <v>12</v>
      </c>
      <c r="C67" s="83"/>
      <c r="D67" s="122"/>
      <c r="E67" s="123">
        <f t="shared" si="9"/>
        <v>0</v>
      </c>
      <c r="F67" s="124">
        <f t="shared" si="10"/>
        <v>0</v>
      </c>
      <c r="G67" s="411"/>
      <c r="H67" s="358"/>
      <c r="I67" s="204">
        <f>+'Provider Total Budget by Serv'!G225</f>
        <v>0</v>
      </c>
      <c r="J67" s="187">
        <f t="shared" si="11"/>
        <v>0</v>
      </c>
      <c r="K67" s="265"/>
      <c r="L67" s="358"/>
      <c r="M67" s="994">
        <f>+'Home Delivered Meal Budget'!M69</f>
        <v>0</v>
      </c>
      <c r="N67" s="994"/>
      <c r="O67" s="995"/>
      <c r="P67" s="216"/>
    </row>
    <row r="68" spans="1:16" s="88" customFormat="1" ht="12.75">
      <c r="A68" s="222"/>
      <c r="B68" s="109" t="s">
        <v>19</v>
      </c>
      <c r="C68" s="83"/>
      <c r="D68" s="122"/>
      <c r="E68" s="123">
        <f t="shared" si="9"/>
        <v>0</v>
      </c>
      <c r="F68" s="124">
        <f t="shared" si="10"/>
        <v>0</v>
      </c>
      <c r="G68" s="187"/>
      <c r="H68" s="358"/>
      <c r="I68" s="204">
        <f>+'Provider Total Budget by Serv'!G230</f>
        <v>0</v>
      </c>
      <c r="J68" s="187">
        <f t="shared" si="11"/>
        <v>0</v>
      </c>
      <c r="K68" s="265"/>
      <c r="L68" s="358"/>
      <c r="M68" s="994">
        <f>+'Home Delivered Meal Budget'!M70</f>
        <v>0</v>
      </c>
      <c r="N68" s="994"/>
      <c r="O68" s="995"/>
      <c r="P68" s="216"/>
    </row>
    <row r="69" spans="1:16" s="88" customFormat="1" ht="12.75">
      <c r="A69" s="222"/>
      <c r="B69" s="109" t="s">
        <v>13</v>
      </c>
      <c r="C69" s="83"/>
      <c r="D69" s="122"/>
      <c r="E69" s="123">
        <f t="shared" si="9"/>
        <v>0</v>
      </c>
      <c r="F69" s="124">
        <f t="shared" si="10"/>
        <v>0</v>
      </c>
      <c r="G69" s="187"/>
      <c r="H69" s="358"/>
      <c r="I69" s="204">
        <f>+'Provider Total Budget by Serv'!G235</f>
        <v>0</v>
      </c>
      <c r="J69" s="187">
        <f t="shared" si="11"/>
        <v>0</v>
      </c>
      <c r="K69" s="265"/>
      <c r="L69" s="358"/>
      <c r="M69" s="994">
        <f>+'Home Delivered Meal Budget'!M71</f>
        <v>0</v>
      </c>
      <c r="N69" s="994"/>
      <c r="O69" s="995"/>
      <c r="P69" s="216"/>
    </row>
    <row r="70" spans="1:16" s="88" customFormat="1" ht="12.75">
      <c r="A70" s="222"/>
      <c r="B70" s="109" t="s">
        <v>14</v>
      </c>
      <c r="C70" s="83"/>
      <c r="D70" s="122"/>
      <c r="E70" s="123">
        <f t="shared" si="9"/>
        <v>0</v>
      </c>
      <c r="F70" s="124">
        <f t="shared" si="10"/>
        <v>0</v>
      </c>
      <c r="G70" s="411"/>
      <c r="H70" s="358"/>
      <c r="I70" s="204">
        <f>+'Provider Total Budget by Serv'!G240</f>
        <v>0</v>
      </c>
      <c r="J70" s="187">
        <f t="shared" si="11"/>
        <v>0</v>
      </c>
      <c r="K70" s="265"/>
      <c r="L70" s="358"/>
      <c r="M70" s="994">
        <f>+'Home Delivered Meal Budget'!M72</f>
        <v>0</v>
      </c>
      <c r="N70" s="994"/>
      <c r="O70" s="995"/>
      <c r="P70" s="216"/>
    </row>
    <row r="71" spans="1:16" s="88" customFormat="1" ht="12.75">
      <c r="A71" s="222"/>
      <c r="B71" s="109" t="s">
        <v>15</v>
      </c>
      <c r="C71" s="83"/>
      <c r="D71" s="122"/>
      <c r="E71" s="123">
        <f t="shared" si="9"/>
        <v>0</v>
      </c>
      <c r="F71" s="124">
        <f t="shared" si="10"/>
        <v>0</v>
      </c>
      <c r="G71" s="411"/>
      <c r="H71" s="358"/>
      <c r="I71" s="204">
        <f>+'Provider Total Budget by Serv'!G245</f>
        <v>0</v>
      </c>
      <c r="J71" s="187">
        <f t="shared" si="11"/>
        <v>0</v>
      </c>
      <c r="K71" s="265"/>
      <c r="L71" s="358"/>
      <c r="M71" s="994">
        <f>+'Home Delivered Meal Budget'!M73</f>
        <v>0</v>
      </c>
      <c r="N71" s="994"/>
      <c r="O71" s="995"/>
      <c r="P71" s="216"/>
    </row>
    <row r="72" spans="1:16" s="88" customFormat="1" ht="12.75">
      <c r="A72" s="222"/>
      <c r="B72" s="109" t="s">
        <v>16</v>
      </c>
      <c r="C72" s="83"/>
      <c r="D72" s="122"/>
      <c r="E72" s="123">
        <f t="shared" si="9"/>
        <v>0</v>
      </c>
      <c r="F72" s="124">
        <f t="shared" si="10"/>
        <v>0</v>
      </c>
      <c r="G72" s="411"/>
      <c r="H72" s="358"/>
      <c r="I72" s="204">
        <f>+'Provider Total Budget by Serv'!G250</f>
        <v>0</v>
      </c>
      <c r="J72" s="187">
        <f t="shared" si="11"/>
        <v>0</v>
      </c>
      <c r="K72" s="265"/>
      <c r="L72" s="358"/>
      <c r="M72" s="994">
        <f>+'Home Delivered Meal Budget'!M74</f>
        <v>0</v>
      </c>
      <c r="N72" s="994"/>
      <c r="O72" s="995"/>
      <c r="P72" s="216"/>
    </row>
    <row r="73" spans="1:16" s="88" customFormat="1" ht="12.75">
      <c r="A73" s="222"/>
      <c r="B73" s="109" t="s">
        <v>24</v>
      </c>
      <c r="C73" s="83"/>
      <c r="D73" s="122"/>
      <c r="E73" s="123">
        <f t="shared" si="9"/>
        <v>0</v>
      </c>
      <c r="F73" s="124">
        <f t="shared" si="10"/>
        <v>0</v>
      </c>
      <c r="G73" s="187"/>
      <c r="H73" s="358"/>
      <c r="I73" s="204">
        <f>+'Provider Total Budget by Serv'!G255</f>
        <v>0</v>
      </c>
      <c r="J73" s="187">
        <f t="shared" si="11"/>
        <v>0</v>
      </c>
      <c r="K73" s="265"/>
      <c r="L73" s="358"/>
      <c r="M73" s="994">
        <f>+'Home Delivered Meal Budget'!M75</f>
        <v>0</v>
      </c>
      <c r="N73" s="994"/>
      <c r="O73" s="995"/>
      <c r="P73" s="216"/>
    </row>
    <row r="74" spans="1:16" s="88" customFormat="1" ht="12.75">
      <c r="A74" s="222"/>
      <c r="B74" s="109" t="s">
        <v>25</v>
      </c>
      <c r="C74" s="83"/>
      <c r="D74" s="122"/>
      <c r="E74" s="123">
        <f t="shared" si="9"/>
        <v>0</v>
      </c>
      <c r="F74" s="124">
        <f t="shared" si="10"/>
        <v>0</v>
      </c>
      <c r="G74" s="187"/>
      <c r="H74" s="358"/>
      <c r="I74" s="204">
        <f>+'Provider Total Budget by Serv'!G260</f>
        <v>0</v>
      </c>
      <c r="J74" s="187">
        <f t="shared" si="11"/>
        <v>0</v>
      </c>
      <c r="K74" s="265"/>
      <c r="L74" s="358"/>
      <c r="M74" s="994">
        <f>+'Home Delivered Meal Budget'!M76</f>
        <v>0</v>
      </c>
      <c r="N74" s="994"/>
      <c r="O74" s="995"/>
      <c r="P74" s="216"/>
    </row>
    <row r="75" spans="1:16" s="88" customFormat="1" ht="12.75">
      <c r="A75" s="222"/>
      <c r="B75" s="109" t="s">
        <v>109</v>
      </c>
      <c r="C75" s="83"/>
      <c r="D75" s="122"/>
      <c r="E75" s="123">
        <f t="shared" si="9"/>
        <v>0</v>
      </c>
      <c r="F75" s="124">
        <f t="shared" si="10"/>
        <v>0</v>
      </c>
      <c r="G75" s="187"/>
      <c r="H75" s="358"/>
      <c r="I75" s="204">
        <f>+'Provider Total Budget by Serv'!G265</f>
        <v>0</v>
      </c>
      <c r="J75" s="187">
        <f t="shared" si="11"/>
        <v>0</v>
      </c>
      <c r="K75" s="265"/>
      <c r="L75" s="358"/>
      <c r="M75" s="994">
        <f>+'Home Delivered Meal Budget'!M77</f>
        <v>0</v>
      </c>
      <c r="N75" s="994"/>
      <c r="O75" s="995"/>
      <c r="P75" s="216"/>
    </row>
    <row r="76" spans="1:16" s="88" customFormat="1" ht="12.75">
      <c r="A76" s="222"/>
      <c r="B76" s="109" t="s">
        <v>17</v>
      </c>
      <c r="C76" s="83"/>
      <c r="D76" s="122"/>
      <c r="E76" s="123">
        <f t="shared" si="9"/>
        <v>0</v>
      </c>
      <c r="F76" s="124">
        <f t="shared" si="10"/>
        <v>0</v>
      </c>
      <c r="G76" s="187"/>
      <c r="H76" s="358"/>
      <c r="I76" s="204">
        <f>+'Provider Total Budget by Serv'!G270</f>
        <v>0</v>
      </c>
      <c r="J76" s="187">
        <f t="shared" si="11"/>
        <v>0</v>
      </c>
      <c r="K76" s="265"/>
      <c r="L76" s="358"/>
      <c r="M76" s="994">
        <f>+'Home Delivered Meal Budget'!M78</f>
        <v>0</v>
      </c>
      <c r="N76" s="994"/>
      <c r="O76" s="995"/>
      <c r="P76" s="216"/>
    </row>
    <row r="77" spans="1:16" s="88" customFormat="1" ht="12.75">
      <c r="A77" s="222"/>
      <c r="B77" s="110" t="s">
        <v>108</v>
      </c>
      <c r="C77" s="84"/>
      <c r="D77" s="390"/>
      <c r="E77" s="391">
        <f t="shared" si="9"/>
        <v>0</v>
      </c>
      <c r="F77" s="392">
        <f t="shared" si="10"/>
        <v>0</v>
      </c>
      <c r="G77" s="185"/>
      <c r="H77" s="358"/>
      <c r="I77" s="205">
        <f>+'Provider Total Budget by Serv'!G275</f>
        <v>0</v>
      </c>
      <c r="J77" s="185">
        <f t="shared" si="11"/>
        <v>0</v>
      </c>
      <c r="K77" s="266"/>
      <c r="L77" s="358"/>
      <c r="M77" s="994">
        <f>+'Home Delivered Meal Budget'!M79</f>
        <v>0</v>
      </c>
      <c r="N77" s="994"/>
      <c r="O77" s="995"/>
      <c r="P77" s="216"/>
    </row>
    <row r="78" spans="1:16" s="88" customFormat="1" ht="12.75">
      <c r="A78" s="222"/>
      <c r="B78" s="110" t="s">
        <v>1</v>
      </c>
      <c r="C78" s="90">
        <f>SUM(C64:C77)</f>
        <v>0</v>
      </c>
      <c r="D78" s="393">
        <f>SUM(D64:D77)</f>
        <v>0</v>
      </c>
      <c r="E78" s="391">
        <f t="shared" si="9"/>
        <v>0</v>
      </c>
      <c r="F78" s="394">
        <f t="shared" si="10"/>
        <v>0</v>
      </c>
      <c r="G78" s="185">
        <f>IF(AND(C78&gt;0,C$80&gt;0),+C78/C$80,0)</f>
        <v>0</v>
      </c>
      <c r="H78" s="358"/>
      <c r="I78" s="504">
        <f>SUM(I64:I77)</f>
        <v>0</v>
      </c>
      <c r="J78" s="185">
        <f t="shared" si="11"/>
        <v>0</v>
      </c>
      <c r="K78" s="396" t="e">
        <f>IF(AND(I78&gt;0,I$80&gt;0),+I78/I$80,0)</f>
        <v>#DIV/0!</v>
      </c>
      <c r="L78" s="358"/>
      <c r="M78" s="994">
        <f>+'Home Delivered Meal Budget'!M80</f>
        <v>0</v>
      </c>
      <c r="N78" s="994"/>
      <c r="O78" s="995"/>
      <c r="P78" s="216"/>
    </row>
    <row r="79" spans="1:16" s="88" customFormat="1" ht="12.75">
      <c r="A79" s="223"/>
      <c r="B79" s="797" t="s">
        <v>1</v>
      </c>
      <c r="C79" s="797"/>
      <c r="D79" s="797"/>
      <c r="E79" s="797"/>
      <c r="F79" s="797"/>
      <c r="G79" s="911"/>
      <c r="H79" s="358"/>
      <c r="I79" s="502"/>
      <c r="J79" s="413"/>
      <c r="K79" s="503"/>
      <c r="L79" s="358"/>
      <c r="M79" s="400"/>
      <c r="N79" s="400"/>
      <c r="O79" s="400"/>
      <c r="P79" s="216"/>
    </row>
    <row r="80" spans="1:16" s="88" customFormat="1" ht="12.75">
      <c r="A80" s="222"/>
      <c r="B80" s="111" t="s">
        <v>28</v>
      </c>
      <c r="C80" s="92">
        <f>+C16+C22+C27+C35+C41+C52+C62+C78</f>
        <v>0</v>
      </c>
      <c r="D80" s="92">
        <f>+D16+D22+D27+D35+D41+D52+D62+D78</f>
        <v>0</v>
      </c>
      <c r="E80" s="92">
        <f>+D80-C80</f>
        <v>0</v>
      </c>
      <c r="F80" s="181">
        <f>IF(+C80+D80=0,0,(IF(AND(+C80=0,D80&gt;0),1,(IF(AND(+C80&gt;0,D80=0),-1,+C80/+D80-1)))))</f>
        <v>0</v>
      </c>
      <c r="G80" s="414">
        <f>IF(AND(C80&gt;0,C$80&gt;0),+C80/C$80,0)</f>
        <v>0</v>
      </c>
      <c r="H80" s="358"/>
      <c r="I80" s="135" t="e">
        <f>+I16+I22+I27+I35+I41+I52+I62+I78</f>
        <v>#DIV/0!</v>
      </c>
      <c r="J80" s="95" t="e">
        <f>IF(I80+C80=0,0,(IF(AND(I80=0,C80&gt;0),-1,(IF(AND(I80&gt;0,C80=0),1,+I80/C80-1)))))</f>
        <v>#DIV/0!</v>
      </c>
      <c r="K80" s="395" t="e">
        <f>IF(AND(I80&gt;0,I$80&gt;0),+I80/I$80,0)</f>
        <v>#DIV/0!</v>
      </c>
      <c r="L80" s="358"/>
      <c r="M80" s="857"/>
      <c r="N80" s="857"/>
      <c r="O80" s="858"/>
      <c r="P80" s="216"/>
    </row>
    <row r="81" spans="1:16" s="88" customFormat="1" ht="12.75" customHeight="1">
      <c r="A81" s="222"/>
      <c r="B81" s="111" t="s">
        <v>221</v>
      </c>
      <c r="C81" s="199"/>
      <c r="D81" s="199"/>
      <c r="E81" s="184"/>
      <c r="F81" s="180"/>
      <c r="G81" s="256"/>
      <c r="H81" s="180"/>
      <c r="I81" s="143" t="s">
        <v>5</v>
      </c>
      <c r="J81" s="416"/>
      <c r="K81" s="505"/>
      <c r="L81" s="85"/>
      <c r="M81" s="129"/>
      <c r="N81" s="129"/>
      <c r="O81" s="129"/>
      <c r="P81" s="216"/>
    </row>
    <row r="82" spans="1:16" s="88" customFormat="1" ht="12.75" customHeight="1">
      <c r="A82" s="224"/>
      <c r="B82" s="111" t="s">
        <v>222</v>
      </c>
      <c r="C82" s="92">
        <f>IF(C81=0,0,+C80/C81)</f>
        <v>0</v>
      </c>
      <c r="D82" s="92">
        <f>IF(D81=0,0,+D80/D81)</f>
        <v>0</v>
      </c>
      <c r="E82" s="418"/>
      <c r="F82" s="419"/>
      <c r="G82" s="419"/>
      <c r="H82" s="419"/>
      <c r="I82" s="207"/>
      <c r="J82" s="182"/>
      <c r="K82" s="267"/>
      <c r="L82" s="126"/>
      <c r="M82" s="126"/>
      <c r="N82" s="126"/>
      <c r="O82" s="85"/>
      <c r="P82" s="216"/>
    </row>
    <row r="83" spans="1:16" s="88" customFormat="1" ht="12.75" customHeight="1">
      <c r="A83" s="223"/>
      <c r="B83" s="525" t="s">
        <v>314</v>
      </c>
      <c r="C83" s="420">
        <f>+D83</f>
        <v>0</v>
      </c>
      <c r="D83" s="421"/>
      <c r="E83" s="422"/>
      <c r="F83" s="243"/>
      <c r="G83" s="423"/>
      <c r="H83" s="243"/>
      <c r="I83" s="208"/>
      <c r="J83" s="183"/>
      <c r="K83" s="268"/>
      <c r="L83" s="85"/>
      <c r="M83" s="85"/>
      <c r="N83" s="85"/>
      <c r="O83" s="85"/>
      <c r="P83" s="216"/>
    </row>
    <row r="84" spans="1:16" s="88" customFormat="1" ht="12.75">
      <c r="A84" s="223"/>
      <c r="B84" s="526"/>
      <c r="C84" s="506"/>
      <c r="D84" s="507"/>
      <c r="F84" s="424"/>
      <c r="G84" s="423"/>
      <c r="H84" s="243"/>
      <c r="I84" s="427"/>
      <c r="J84" s="426"/>
      <c r="K84" s="508"/>
      <c r="L84" s="129"/>
      <c r="M84" s="129"/>
      <c r="N84" s="129"/>
      <c r="O84" s="85"/>
      <c r="P84" s="216"/>
    </row>
    <row r="85" spans="1:16" s="88" customFormat="1" ht="12.75">
      <c r="A85" s="223"/>
      <c r="B85" s="305"/>
      <c r="C85" s="427"/>
      <c r="D85" s="428"/>
      <c r="F85" s="419"/>
      <c r="G85" s="429"/>
      <c r="H85" s="429"/>
      <c r="I85" s="208"/>
      <c r="J85" s="208"/>
      <c r="K85" s="268"/>
      <c r="L85" s="129"/>
      <c r="M85" s="129"/>
      <c r="N85" s="129"/>
      <c r="O85" s="85"/>
      <c r="P85" s="216"/>
    </row>
    <row r="86" spans="1:16" ht="12.75">
      <c r="A86" s="213"/>
      <c r="F86" s="288"/>
      <c r="G86" s="463"/>
      <c r="H86" s="288"/>
      <c r="L86" s="288"/>
      <c r="M86" s="288"/>
      <c r="N86" s="288"/>
      <c r="O86" s="288"/>
      <c r="P86" s="225"/>
    </row>
    <row r="87" spans="1:16" ht="12.75">
      <c r="A87" s="213"/>
      <c r="F87" s="288"/>
      <c r="G87" s="463"/>
      <c r="H87" s="288"/>
      <c r="L87" s="288"/>
      <c r="M87" s="288"/>
      <c r="N87" s="288"/>
      <c r="O87" s="288"/>
      <c r="P87" s="225"/>
    </row>
    <row r="88" spans="1:16" ht="12.75">
      <c r="A88" s="213"/>
      <c r="F88" s="288"/>
      <c r="G88" s="463"/>
      <c r="H88" s="288"/>
      <c r="L88" s="288"/>
      <c r="M88" s="288"/>
      <c r="N88" s="288"/>
      <c r="O88" s="288"/>
      <c r="P88" s="225"/>
    </row>
    <row r="89" spans="1:16" ht="12.75">
      <c r="A89" s="213"/>
      <c r="F89" s="288"/>
      <c r="G89" s="463"/>
      <c r="H89" s="288"/>
      <c r="L89" s="288"/>
      <c r="M89" s="288"/>
      <c r="N89" s="288"/>
      <c r="O89" s="288"/>
      <c r="P89" s="225"/>
    </row>
    <row r="90" spans="1:16" ht="12.75">
      <c r="A90" s="213"/>
      <c r="F90" s="288"/>
      <c r="G90" s="463"/>
      <c r="H90" s="288"/>
      <c r="L90" s="288"/>
      <c r="M90" s="288"/>
      <c r="N90" s="288"/>
      <c r="O90" s="288"/>
      <c r="P90" s="225"/>
    </row>
    <row r="91" spans="1:16" ht="12.75">
      <c r="A91" s="213"/>
      <c r="G91" s="509"/>
      <c r="P91" s="225"/>
    </row>
    <row r="92" spans="1:16" ht="25.5">
      <c r="A92" s="213"/>
      <c r="B92" s="919" t="s">
        <v>66</v>
      </c>
      <c r="C92" s="920"/>
      <c r="D92" s="920"/>
      <c r="E92" s="920"/>
      <c r="F92" s="920"/>
      <c r="G92" s="510" t="s">
        <v>70</v>
      </c>
      <c r="H92" s="106"/>
      <c r="I92" s="866" t="s">
        <v>69</v>
      </c>
      <c r="J92" s="866"/>
      <c r="K92" s="511" t="s">
        <v>68</v>
      </c>
      <c r="L92" s="422"/>
      <c r="M92" s="88"/>
      <c r="N92" s="129"/>
      <c r="O92" s="88"/>
      <c r="P92" s="225"/>
    </row>
    <row r="93" spans="1:16" ht="12.75">
      <c r="A93" s="213"/>
      <c r="B93" s="915" t="s">
        <v>436</v>
      </c>
      <c r="C93" s="866"/>
      <c r="D93" s="866"/>
      <c r="E93" s="866"/>
      <c r="F93" s="866"/>
      <c r="G93" s="512"/>
      <c r="H93" s="85"/>
      <c r="I93" s="991">
        <f>IF(G93=0,0,'Unit Rate Calculation CM'!F28)</f>
        <v>0</v>
      </c>
      <c r="J93" s="991"/>
      <c r="K93" s="513">
        <f>+G93*I93</f>
        <v>0</v>
      </c>
      <c r="L93" s="996" t="s">
        <v>71</v>
      </c>
      <c r="M93" s="996"/>
      <c r="N93" s="996"/>
      <c r="O93" s="992"/>
      <c r="P93" s="225"/>
    </row>
    <row r="94" spans="1:16" ht="12.75">
      <c r="A94" s="213"/>
      <c r="B94" s="847" t="s">
        <v>38</v>
      </c>
      <c r="C94" s="847"/>
      <c r="D94" s="847"/>
      <c r="E94" s="847"/>
      <c r="F94" s="848"/>
      <c r="G94" s="514"/>
      <c r="H94" s="85"/>
      <c r="I94" s="991">
        <f>IF(G94=0,0,'Unit Rate Calculation CM'!$K$17)</f>
        <v>0</v>
      </c>
      <c r="J94" s="991"/>
      <c r="K94" s="513">
        <f>+G94*I94</f>
        <v>0</v>
      </c>
      <c r="L94" s="992" t="s">
        <v>71</v>
      </c>
      <c r="M94" s="993"/>
      <c r="N94" s="993"/>
      <c r="O94" s="993"/>
      <c r="P94" s="225"/>
    </row>
    <row r="95" spans="1:16" ht="12.75">
      <c r="A95" s="213"/>
      <c r="B95" s="915" t="s">
        <v>412</v>
      </c>
      <c r="C95" s="866"/>
      <c r="D95" s="866"/>
      <c r="E95" s="866"/>
      <c r="F95" s="866"/>
      <c r="G95" s="515"/>
      <c r="H95" s="85"/>
      <c r="I95" s="991">
        <f>IF(G95=0,0,'Unit Rate Calculation CM'!$K$17)</f>
        <v>0</v>
      </c>
      <c r="J95" s="991"/>
      <c r="K95" s="513">
        <f>+G95*I95</f>
        <v>0</v>
      </c>
      <c r="L95" s="992" t="s">
        <v>71</v>
      </c>
      <c r="M95" s="993"/>
      <c r="N95" s="993"/>
      <c r="O95" s="993"/>
      <c r="P95" s="225"/>
    </row>
    <row r="96" spans="1:16" ht="12.75">
      <c r="A96" s="213"/>
      <c r="B96" s="848" t="s">
        <v>107</v>
      </c>
      <c r="C96" s="866"/>
      <c r="D96" s="866"/>
      <c r="E96" s="866"/>
      <c r="F96" s="866"/>
      <c r="G96" s="515"/>
      <c r="H96" s="85"/>
      <c r="I96" s="991">
        <f>IF(G96=0,0,'Unit Rate Calculation CM'!$K$17)</f>
        <v>0</v>
      </c>
      <c r="J96" s="991"/>
      <c r="K96" s="513">
        <f>+G96*I96</f>
        <v>0</v>
      </c>
      <c r="L96" s="992" t="s">
        <v>71</v>
      </c>
      <c r="M96" s="993"/>
      <c r="N96" s="993"/>
      <c r="O96" s="993"/>
      <c r="P96" s="225"/>
    </row>
    <row r="97" spans="1:16" ht="12.75">
      <c r="A97" s="213"/>
      <c r="B97" s="848" t="s">
        <v>67</v>
      </c>
      <c r="C97" s="866"/>
      <c r="D97" s="866"/>
      <c r="E97" s="866"/>
      <c r="F97" s="866"/>
      <c r="G97" s="516" t="s">
        <v>72</v>
      </c>
      <c r="H97" s="85"/>
      <c r="I97" s="991">
        <f>IF(G97=0,0,'Unit Rate Calculation CM'!$F$27)</f>
        <v>0</v>
      </c>
      <c r="J97" s="991"/>
      <c r="K97" s="513">
        <f>+G93*I97</f>
        <v>0</v>
      </c>
      <c r="L97" s="996" t="s">
        <v>71</v>
      </c>
      <c r="M97" s="996"/>
      <c r="N97" s="996"/>
      <c r="O97" s="992"/>
      <c r="P97" s="225"/>
    </row>
    <row r="98" spans="1:16" ht="12.75">
      <c r="A98" s="213"/>
      <c r="B98" s="1009" t="s">
        <v>265</v>
      </c>
      <c r="C98" s="1010"/>
      <c r="D98" s="1010"/>
      <c r="E98" s="1010"/>
      <c r="F98" s="1010"/>
      <c r="G98" s="514"/>
      <c r="H98" s="85"/>
      <c r="I98" s="991">
        <f>+'Unit Rate Calculation CM'!K17</f>
        <v>0</v>
      </c>
      <c r="J98" s="991"/>
      <c r="K98" s="513">
        <f>+G98*I98</f>
        <v>0</v>
      </c>
      <c r="L98" s="996" t="s">
        <v>71</v>
      </c>
      <c r="M98" s="996"/>
      <c r="N98" s="996"/>
      <c r="O98" s="992"/>
      <c r="P98" s="225"/>
    </row>
    <row r="99" spans="1:16" ht="12.75">
      <c r="A99" s="213"/>
      <c r="B99" s="1009" t="s">
        <v>264</v>
      </c>
      <c r="C99" s="1010"/>
      <c r="D99" s="1010"/>
      <c r="E99" s="1010"/>
      <c r="F99" s="1010"/>
      <c r="G99" s="514"/>
      <c r="H99" s="85"/>
      <c r="I99" s="991">
        <f>+'Unit Rate Calculation CM'!K17</f>
        <v>0</v>
      </c>
      <c r="J99" s="991"/>
      <c r="K99" s="513">
        <f>+G99*I99</f>
        <v>0</v>
      </c>
      <c r="L99" s="996" t="s">
        <v>71</v>
      </c>
      <c r="M99" s="996"/>
      <c r="N99" s="996"/>
      <c r="O99" s="992"/>
      <c r="P99" s="225"/>
    </row>
    <row r="100" spans="1:16" ht="12.75">
      <c r="A100" s="213"/>
      <c r="B100" s="911" t="s">
        <v>203</v>
      </c>
      <c r="C100" s="912"/>
      <c r="D100" s="912"/>
      <c r="E100" s="912"/>
      <c r="F100" s="912"/>
      <c r="G100" s="517">
        <f>SUM(G93:G99)</f>
        <v>0</v>
      </c>
      <c r="H100" s="107"/>
      <c r="I100" s="991"/>
      <c r="J100" s="991"/>
      <c r="K100" s="513">
        <f>SUM(K93:K99)</f>
        <v>0</v>
      </c>
      <c r="L100" s="1006" t="s">
        <v>263</v>
      </c>
      <c r="M100" s="1007"/>
      <c r="N100" s="1007"/>
      <c r="O100" s="1007"/>
      <c r="P100" s="225"/>
    </row>
    <row r="101" spans="1:16" ht="12.75">
      <c r="A101" s="213"/>
      <c r="B101" s="911" t="s">
        <v>262</v>
      </c>
      <c r="C101" s="912"/>
      <c r="D101" s="912"/>
      <c r="E101" s="912"/>
      <c r="F101" s="912"/>
      <c r="G101" s="518">
        <f>+C_TotalBudgetedMeals</f>
        <v>0</v>
      </c>
      <c r="H101" s="100"/>
      <c r="I101" s="456"/>
      <c r="J101" s="452"/>
      <c r="K101" s="270"/>
      <c r="L101" s="88"/>
      <c r="M101" s="452"/>
      <c r="N101" s="88"/>
      <c r="O101" s="99"/>
      <c r="P101" s="225"/>
    </row>
    <row r="102" spans="1:16" ht="28.5" customHeight="1">
      <c r="A102" s="213"/>
      <c r="B102" s="797" t="s">
        <v>327</v>
      </c>
      <c r="C102" s="797"/>
      <c r="D102" s="797"/>
      <c r="E102" s="797"/>
      <c r="F102" s="911"/>
      <c r="G102" s="519">
        <f>+G101-G100</f>
        <v>0</v>
      </c>
      <c r="H102" s="100"/>
      <c r="I102" s="456"/>
      <c r="J102" s="452"/>
      <c r="K102" s="270"/>
      <c r="L102" s="88"/>
      <c r="M102" s="452"/>
      <c r="N102" s="88"/>
      <c r="O102" s="99"/>
      <c r="P102" s="225"/>
    </row>
    <row r="103" spans="1:16" ht="12.75">
      <c r="A103" s="213"/>
      <c r="B103" s="447"/>
      <c r="C103" s="447"/>
      <c r="D103" s="447"/>
      <c r="E103" s="447"/>
      <c r="F103" s="88"/>
      <c r="G103" s="520"/>
      <c r="H103" s="100"/>
      <c r="I103" s="456"/>
      <c r="J103" s="452"/>
      <c r="K103" s="270"/>
      <c r="L103" s="88"/>
      <c r="M103" s="452"/>
      <c r="N103" s="88"/>
      <c r="O103" s="99"/>
      <c r="P103" s="225"/>
    </row>
    <row r="104" spans="1:16" ht="12.75">
      <c r="A104" s="213"/>
      <c r="B104" s="848" t="s">
        <v>225</v>
      </c>
      <c r="C104" s="1008"/>
      <c r="D104" s="1008"/>
      <c r="E104" s="1008"/>
      <c r="F104" s="1008"/>
      <c r="G104" s="521">
        <v>100</v>
      </c>
      <c r="H104" s="129"/>
      <c r="I104" s="209"/>
      <c r="J104" s="129"/>
      <c r="K104" s="269"/>
      <c r="L104" s="103"/>
      <c r="M104" s="129"/>
      <c r="N104" s="129"/>
      <c r="O104" s="88"/>
      <c r="P104" s="225"/>
    </row>
    <row r="105" spans="1:16" ht="12.75">
      <c r="A105" s="213"/>
      <c r="B105" s="848" t="s">
        <v>226</v>
      </c>
      <c r="C105" s="1008"/>
      <c r="D105" s="1008"/>
      <c r="E105" s="1008"/>
      <c r="F105" s="1008"/>
      <c r="G105" s="522" t="e">
        <f>++'Provider Total Budget by Serv'!E278*'Provider Total Budget by Serv'!D304</f>
        <v>#DIV/0!</v>
      </c>
      <c r="H105" s="129"/>
      <c r="I105" s="209"/>
      <c r="J105" s="129"/>
      <c r="K105" s="270"/>
      <c r="L105" s="128"/>
      <c r="M105" s="129"/>
      <c r="N105" s="129"/>
      <c r="O105" s="88"/>
      <c r="P105" s="225"/>
    </row>
    <row r="106" spans="1:16" ht="12.75">
      <c r="A106" s="527"/>
      <c r="B106" s="848" t="s">
        <v>118</v>
      </c>
      <c r="C106" s="1008"/>
      <c r="D106" s="1008"/>
      <c r="E106" s="1008"/>
      <c r="F106" s="1008"/>
      <c r="G106" s="134" t="e">
        <f>IF(G104&gt;0,+G105/G104,0)</f>
        <v>#DIV/0!</v>
      </c>
      <c r="H106" s="129"/>
      <c r="I106" s="209"/>
      <c r="J106" s="129"/>
      <c r="K106" s="270"/>
      <c r="L106" s="128"/>
      <c r="M106" s="129"/>
      <c r="N106" s="129"/>
      <c r="O106" s="88"/>
      <c r="P106" s="524"/>
    </row>
  </sheetData>
  <sheetProtection formatCells="0" formatColumns="0" formatRows="0"/>
  <mergeCells count="77">
    <mergeCell ref="E9:E12"/>
    <mergeCell ref="M9:N9"/>
    <mergeCell ref="M10:N10"/>
    <mergeCell ref="M8:O8"/>
    <mergeCell ref="C2:G2"/>
    <mergeCell ref="C3:G3"/>
    <mergeCell ref="C4:G4"/>
    <mergeCell ref="C5:G5"/>
    <mergeCell ref="F9:F12"/>
    <mergeCell ref="G9:G12"/>
    <mergeCell ref="C8:G8"/>
    <mergeCell ref="I9:I12"/>
    <mergeCell ref="I2:O4"/>
    <mergeCell ref="I5:K5"/>
    <mergeCell ref="M5:O5"/>
    <mergeCell ref="I6:K7"/>
    <mergeCell ref="M6:O7"/>
    <mergeCell ref="J9:J12"/>
    <mergeCell ref="K9:K12"/>
    <mergeCell ref="M11:N11"/>
    <mergeCell ref="M12:O12"/>
    <mergeCell ref="M14:O16"/>
    <mergeCell ref="B17:G17"/>
    <mergeCell ref="M18:O22"/>
    <mergeCell ref="B23:G23"/>
    <mergeCell ref="M24:O27"/>
    <mergeCell ref="M37:O41"/>
    <mergeCell ref="B104:F104"/>
    <mergeCell ref="B99:F99"/>
    <mergeCell ref="B101:F101"/>
    <mergeCell ref="B100:F100"/>
    <mergeCell ref="B105:F105"/>
    <mergeCell ref="B106:F106"/>
    <mergeCell ref="B102:F102"/>
    <mergeCell ref="B42:G42"/>
    <mergeCell ref="C9:C12"/>
    <mergeCell ref="D9:D12"/>
    <mergeCell ref="L100:O100"/>
    <mergeCell ref="I99:J99"/>
    <mergeCell ref="L99:O99"/>
    <mergeCell ref="I100:J100"/>
    <mergeCell ref="B98:F98"/>
    <mergeCell ref="M43:O52"/>
    <mergeCell ref="B13:G13"/>
    <mergeCell ref="B6:B7"/>
    <mergeCell ref="C6:C7"/>
    <mergeCell ref="D6:G7"/>
    <mergeCell ref="B92:F92"/>
    <mergeCell ref="B53:G53"/>
    <mergeCell ref="B9:B12"/>
    <mergeCell ref="B63:G63"/>
    <mergeCell ref="B79:G79"/>
    <mergeCell ref="B28:G28"/>
    <mergeCell ref="B36:G36"/>
    <mergeCell ref="L98:O98"/>
    <mergeCell ref="L97:O97"/>
    <mergeCell ref="I97:J97"/>
    <mergeCell ref="I98:J98"/>
    <mergeCell ref="L94:O94"/>
    <mergeCell ref="B95:F95"/>
    <mergeCell ref="B94:F94"/>
    <mergeCell ref="M54:O62"/>
    <mergeCell ref="M64:O78"/>
    <mergeCell ref="M80:O80"/>
    <mergeCell ref="M29:O35"/>
    <mergeCell ref="I94:J94"/>
    <mergeCell ref="L93:O93"/>
    <mergeCell ref="B1:O1"/>
    <mergeCell ref="B93:F93"/>
    <mergeCell ref="B97:F97"/>
    <mergeCell ref="I92:J92"/>
    <mergeCell ref="I93:J93"/>
    <mergeCell ref="L96:O96"/>
    <mergeCell ref="B96:F96"/>
    <mergeCell ref="L95:O95"/>
    <mergeCell ref="I95:J95"/>
    <mergeCell ref="I96:J96"/>
  </mergeCells>
  <conditionalFormatting sqref="K16">
    <cfRule type="cellIs" priority="4" dxfId="0" operator="greaterThan" stopIfTrue="1">
      <formula>0.5</formula>
    </cfRule>
  </conditionalFormatting>
  <conditionalFormatting sqref="K27">
    <cfRule type="cellIs" priority="3" dxfId="0" operator="greaterThan" stopIfTrue="1">
      <formula>0.03</formula>
    </cfRule>
  </conditionalFormatting>
  <conditionalFormatting sqref="K35">
    <cfRule type="cellIs" priority="2" dxfId="0" operator="lessThan" stopIfTrue="1">
      <formula>0.3</formula>
    </cfRule>
  </conditionalFormatting>
  <conditionalFormatting sqref="K78">
    <cfRule type="cellIs" priority="1" dxfId="0" operator="greaterThan" stopIfTrue="1">
      <formula>0.15</formula>
    </cfRule>
  </conditionalFormatting>
  <dataValidations count="8">
    <dataValidation type="whole" allowBlank="1" showInputMessage="1" showErrorMessage="1" sqref="G93:G96 G98:G99">
      <formula1>0</formula1>
      <formula2>15000000</formula2>
    </dataValidation>
    <dataValidation type="whole" allowBlank="1" showInputMessage="1" showErrorMessage="1" sqref="C81:D81">
      <formula1>0</formula1>
      <formula2>999999999</formula2>
    </dataValidation>
    <dataValidation type="decimal" allowBlank="1" showInputMessage="1" showErrorMessage="1" sqref="D83">
      <formula1>0</formula1>
      <formula2>9999999.99</formula2>
    </dataValidation>
    <dataValidation allowBlank="1" showInputMessage="1" showErrorMessage="1" promptTitle="Review Alert" prompt="If the percentage of the meal cost applied to the cost area is outside of the expected range for the cost area, the cell will be highlighted in red. Additional review should be conducted to verify cost area budget is accurate." sqref="K78 K35 K27 K16"/>
    <dataValidation type="decimal" allowBlank="1" showInputMessage="1" showErrorMessage="1" sqref="K54:K61 I64:I77 I54:I61 I43:I51 I37:I40 I29:I34 I24:I26 K64:K77 K20:K21 K24:K26 K29:K34 K37:K40 K43:K51 C29:D34 C20:C21 C24:D26 C54:D61 C43:D51 C37:D40 C64:D77">
      <formula1>0</formula1>
      <formula2>15000000</formula2>
    </dataValidation>
    <dataValidation type="decimal" allowBlank="1" showInputMessage="1" showErrorMessage="1" sqref="J15 I18:I21 K14:K15 I14:I15 C18:C19 D18:D21 C14:D15 J18:K19">
      <formula1>0</formula1>
      <formula2>150000000</formula2>
    </dataValidation>
    <dataValidation allowBlank="1" showInputMessage="1" showErrorMessage="1" promptTitle="Explanation of Variance" prompt="If an explanations was entered on the &quot;Home Delivered Meal Budget&quot; this cost center was updated with the same explanation. If this explanation is not correct for this service and cost center, delete the explanation and enter the correct information. " sqref="M13:O13"/>
    <dataValidation allowBlank="1" showErrorMessage="1" promptTitle="Explanation of Variance" prompt="If an explanations was entered on the &quot;Home Delivered Meal Budget&quot; this cost center was updated with the same explanation. If this explanation is not correct for this service and cost center, delete the explanation and enter the correct information. " sqref="M14:O16 M18:O22 M24:O27 M29:O35 M37:O41 M43:O52 M54:O62 M64:O78"/>
  </dataValidations>
  <printOptions/>
  <pageMargins left="0.7" right="0.7" top="0.75" bottom="0.75" header="0.3" footer="0.3"/>
  <pageSetup fitToHeight="4" fitToWidth="1" horizontalDpi="600" verticalDpi="600" orientation="landscape" paperSize="5"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Austin, TX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TDoA</dc:creator>
  <cp:keywords/>
  <dc:description/>
  <cp:lastModifiedBy>Holly Anderson</cp:lastModifiedBy>
  <cp:lastPrinted>2017-02-09T19:09:53Z</cp:lastPrinted>
  <dcterms:created xsi:type="dcterms:W3CDTF">2000-02-07T19:25:04Z</dcterms:created>
  <dcterms:modified xsi:type="dcterms:W3CDTF">2022-03-30T14:34:56Z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